
<file path=[Content_Types].xml><?xml version="1.0" encoding="utf-8"?>
<Types xmlns="http://schemas.openxmlformats.org/package/2006/content-types">
  <Default Extension="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3270" windowWidth="16230" windowHeight="7560"/>
  </bookViews>
  <sheets>
    <sheet name="introducción" sheetId="1" r:id="rId1"/>
    <sheet name="interacción" sheetId="2" r:id="rId2"/>
    <sheet name="excentricidad" sheetId="3" r:id="rId3"/>
    <sheet name="penetración= 1" sheetId="4" r:id="rId4"/>
  </sheets>
  <calcPr calcId="125725"/>
</workbook>
</file>

<file path=xl/calcChain.xml><?xml version="1.0" encoding="utf-8"?>
<calcChain xmlns="http://schemas.openxmlformats.org/spreadsheetml/2006/main">
  <c r="C2" i="3"/>
  <c r="F2"/>
  <c r="G2"/>
  <c r="H2"/>
  <c r="I2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A38"/>
  <c r="B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C73"/>
  <c r="F73"/>
  <c r="G73"/>
  <c r="H73"/>
  <c r="I73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A109"/>
  <c r="B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E2" i="2"/>
  <c r="D2" i="3" s="1"/>
  <c r="F2" i="2"/>
  <c r="E2" i="3" s="1"/>
  <c r="C2" i="4"/>
  <c r="E2"/>
  <c r="F2"/>
  <c r="G2"/>
  <c r="H2"/>
  <c r="I2"/>
  <c r="A6"/>
  <c r="A7"/>
  <c r="H7"/>
  <c r="I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D131" i="3" l="1"/>
  <c r="F131" s="1"/>
  <c r="D60"/>
  <c r="F60" s="1"/>
  <c r="D87"/>
  <c r="F87" s="1"/>
  <c r="A17"/>
  <c r="A27"/>
  <c r="A28" s="1"/>
  <c r="A29" s="1"/>
  <c r="A30" s="1"/>
  <c r="A31" s="1"/>
  <c r="A32" s="1"/>
  <c r="A33" s="1"/>
  <c r="A34" s="1"/>
  <c r="A35" s="1"/>
  <c r="A36" s="1"/>
  <c r="A37" s="1"/>
  <c r="D38"/>
  <c r="E60"/>
  <c r="B61"/>
  <c r="D73"/>
  <c r="A76"/>
  <c r="E87"/>
  <c r="A5"/>
  <c r="D5" s="1"/>
  <c r="F5" s="1"/>
  <c r="D27"/>
  <c r="F27" s="1"/>
  <c r="C28"/>
  <c r="D29"/>
  <c r="C30"/>
  <c r="D31"/>
  <c r="F31" s="1"/>
  <c r="C32"/>
  <c r="D33"/>
  <c r="C34"/>
  <c r="D35"/>
  <c r="F35" s="1"/>
  <c r="C36"/>
  <c r="D37"/>
  <c r="C38"/>
  <c r="F38" s="1"/>
  <c r="E38"/>
  <c r="B49"/>
  <c r="E73"/>
  <c r="A88"/>
  <c r="A98"/>
  <c r="D16"/>
  <c r="E16" s="1"/>
  <c r="F16"/>
  <c r="C27"/>
  <c r="E27"/>
  <c r="D28"/>
  <c r="C29"/>
  <c r="E29" s="1"/>
  <c r="D30"/>
  <c r="F30" s="1"/>
  <c r="C31"/>
  <c r="E31" s="1"/>
  <c r="G31" s="1"/>
  <c r="D32"/>
  <c r="C33"/>
  <c r="E33" s="1"/>
  <c r="D34"/>
  <c r="F34" s="1"/>
  <c r="C35"/>
  <c r="E35"/>
  <c r="D36"/>
  <c r="C37"/>
  <c r="E37" s="1"/>
  <c r="B2" i="2"/>
  <c r="B120" i="3"/>
  <c r="B110"/>
  <c r="C109"/>
  <c r="D2" i="4"/>
  <c r="C2" i="2"/>
  <c r="B132" i="3"/>
  <c r="E131"/>
  <c r="C110"/>
  <c r="D109"/>
  <c r="F109" s="1"/>
  <c r="B39"/>
  <c r="G131" l="1"/>
  <c r="E109"/>
  <c r="E36"/>
  <c r="E32"/>
  <c r="E28"/>
  <c r="G35"/>
  <c r="G27"/>
  <c r="G38"/>
  <c r="A149" s="1"/>
  <c r="F37"/>
  <c r="C150" s="1"/>
  <c r="F33"/>
  <c r="G33" s="1"/>
  <c r="F29"/>
  <c r="G29" s="1"/>
  <c r="G37"/>
  <c r="B150"/>
  <c r="G109"/>
  <c r="D39"/>
  <c r="B40"/>
  <c r="B2"/>
  <c r="B73" s="1"/>
  <c r="B2" i="4"/>
  <c r="B111" i="3"/>
  <c r="D110"/>
  <c r="F110" s="1"/>
  <c r="A2"/>
  <c r="A73" s="1"/>
  <c r="A2" i="4"/>
  <c r="D98" i="3"/>
  <c r="A99"/>
  <c r="A77"/>
  <c r="B62"/>
  <c r="A18"/>
  <c r="B133"/>
  <c r="D132"/>
  <c r="E132" s="1"/>
  <c r="B5" i="4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D120" i="3"/>
  <c r="F120" s="1"/>
  <c r="B121"/>
  <c r="D88"/>
  <c r="A89"/>
  <c r="E88"/>
  <c r="B50"/>
  <c r="D49"/>
  <c r="F49" s="1"/>
  <c r="A6"/>
  <c r="E5"/>
  <c r="G5" s="1"/>
  <c r="C39"/>
  <c r="E39" s="1"/>
  <c r="E34"/>
  <c r="G34" s="1"/>
  <c r="E30"/>
  <c r="G30" s="1"/>
  <c r="G16"/>
  <c r="F36"/>
  <c r="G36" s="1"/>
  <c r="F32"/>
  <c r="G32" s="1"/>
  <c r="F28"/>
  <c r="G28" s="1"/>
  <c r="D17"/>
  <c r="F17" s="1"/>
  <c r="C98"/>
  <c r="E98" s="1"/>
  <c r="G87"/>
  <c r="D76"/>
  <c r="F76" s="1"/>
  <c r="G60"/>
  <c r="F88"/>
  <c r="D61"/>
  <c r="E61" s="1"/>
  <c r="F61" l="1"/>
  <c r="G61" s="1"/>
  <c r="A7"/>
  <c r="D6"/>
  <c r="F6" s="1"/>
  <c r="B51"/>
  <c r="D50"/>
  <c r="E50" s="1"/>
  <c r="B134"/>
  <c r="D133"/>
  <c r="E133" s="1"/>
  <c r="F133"/>
  <c r="A19"/>
  <c r="D18"/>
  <c r="E18" s="1"/>
  <c r="B63"/>
  <c r="D62"/>
  <c r="E62" s="1"/>
  <c r="F62"/>
  <c r="A78"/>
  <c r="D77"/>
  <c r="E77" s="1"/>
  <c r="D99"/>
  <c r="A100"/>
  <c r="C99"/>
  <c r="E99" s="1"/>
  <c r="B41"/>
  <c r="D40"/>
  <c r="F40" s="1"/>
  <c r="C40"/>
  <c r="G88"/>
  <c r="E120"/>
  <c r="G120" s="1"/>
  <c r="D24" i="4"/>
  <c r="D22"/>
  <c r="D20"/>
  <c r="D18"/>
  <c r="D16"/>
  <c r="D14"/>
  <c r="D12"/>
  <c r="D10"/>
  <c r="D8"/>
  <c r="D6"/>
  <c r="F132" i="3"/>
  <c r="G132" s="1"/>
  <c r="E110"/>
  <c r="G110" s="1"/>
  <c r="D89"/>
  <c r="F89" s="1"/>
  <c r="A90"/>
  <c r="E89"/>
  <c r="D121"/>
  <c r="E121" s="1"/>
  <c r="B122"/>
  <c r="D111"/>
  <c r="B112"/>
  <c r="C111"/>
  <c r="E111" s="1"/>
  <c r="E49"/>
  <c r="G49" s="1"/>
  <c r="D25" i="4"/>
  <c r="D23"/>
  <c r="D21"/>
  <c r="D19"/>
  <c r="D17"/>
  <c r="D15"/>
  <c r="D13"/>
  <c r="D11"/>
  <c r="D9"/>
  <c r="D7"/>
  <c r="D5"/>
  <c r="E17" i="3"/>
  <c r="G17" s="1"/>
  <c r="E76"/>
  <c r="G76" s="1"/>
  <c r="F98"/>
  <c r="G98" s="1"/>
  <c r="F39"/>
  <c r="G39" s="1"/>
  <c r="F121" l="1"/>
  <c r="E40"/>
  <c r="G40" s="1"/>
  <c r="F77"/>
  <c r="G62"/>
  <c r="F18"/>
  <c r="G133"/>
  <c r="F50"/>
  <c r="G77"/>
  <c r="G18"/>
  <c r="G50"/>
  <c r="D122"/>
  <c r="E122" s="1"/>
  <c r="B123"/>
  <c r="D41"/>
  <c r="B42"/>
  <c r="C41"/>
  <c r="E41" s="1"/>
  <c r="D100"/>
  <c r="A101"/>
  <c r="C100"/>
  <c r="E100" s="1"/>
  <c r="A79"/>
  <c r="D78"/>
  <c r="F78" s="1"/>
  <c r="B64"/>
  <c r="D63"/>
  <c r="F63" s="1"/>
  <c r="A20"/>
  <c r="D19"/>
  <c r="F19" s="1"/>
  <c r="B135"/>
  <c r="D134"/>
  <c r="F134" s="1"/>
  <c r="B52"/>
  <c r="D51"/>
  <c r="F51" s="1"/>
  <c r="F111"/>
  <c r="G111" s="1"/>
  <c r="G89"/>
  <c r="E6"/>
  <c r="G6" s="1"/>
  <c r="B113"/>
  <c r="D112"/>
  <c r="C112"/>
  <c r="D90"/>
  <c r="F90" s="1"/>
  <c r="A91"/>
  <c r="E90"/>
  <c r="A8"/>
  <c r="D7"/>
  <c r="E7" s="1"/>
  <c r="G121"/>
  <c r="F99"/>
  <c r="G99" s="1"/>
  <c r="F7" l="1"/>
  <c r="F112"/>
  <c r="G7"/>
  <c r="A9"/>
  <c r="D8"/>
  <c r="F8" s="1"/>
  <c r="D91"/>
  <c r="A92"/>
  <c r="E91"/>
  <c r="F91"/>
  <c r="D113"/>
  <c r="B114"/>
  <c r="C113"/>
  <c r="E113" s="1"/>
  <c r="D101"/>
  <c r="A102"/>
  <c r="C101"/>
  <c r="E101" s="1"/>
  <c r="D123"/>
  <c r="E123"/>
  <c r="B124"/>
  <c r="F123"/>
  <c r="E112"/>
  <c r="G112" s="1"/>
  <c r="E51"/>
  <c r="G51" s="1"/>
  <c r="E134"/>
  <c r="G134" s="1"/>
  <c r="E19"/>
  <c r="G19" s="1"/>
  <c r="E63"/>
  <c r="G63" s="1"/>
  <c r="E78"/>
  <c r="G78" s="1"/>
  <c r="F41"/>
  <c r="G41" s="1"/>
  <c r="B53"/>
  <c r="D52"/>
  <c r="E52" s="1"/>
  <c r="B136"/>
  <c r="D135"/>
  <c r="E135" s="1"/>
  <c r="F135"/>
  <c r="A21"/>
  <c r="D20"/>
  <c r="E20" s="1"/>
  <c r="B65"/>
  <c r="D64"/>
  <c r="E64" s="1"/>
  <c r="F64"/>
  <c r="A80"/>
  <c r="D79"/>
  <c r="E79" s="1"/>
  <c r="B43"/>
  <c r="D42"/>
  <c r="C42"/>
  <c r="G90"/>
  <c r="F100"/>
  <c r="G100" s="1"/>
  <c r="F122"/>
  <c r="G122" s="1"/>
  <c r="F42" l="1"/>
  <c r="F79"/>
  <c r="G64"/>
  <c r="F20"/>
  <c r="G135"/>
  <c r="F52"/>
  <c r="G79"/>
  <c r="G20"/>
  <c r="G52"/>
  <c r="A81"/>
  <c r="D80"/>
  <c r="F80" s="1"/>
  <c r="B66"/>
  <c r="D65"/>
  <c r="F65" s="1"/>
  <c r="A22"/>
  <c r="D21"/>
  <c r="F21" s="1"/>
  <c r="B137"/>
  <c r="D136"/>
  <c r="F136" s="1"/>
  <c r="B54"/>
  <c r="D53"/>
  <c r="F53" s="1"/>
  <c r="B115"/>
  <c r="D114"/>
  <c r="C114"/>
  <c r="D92"/>
  <c r="F92" s="1"/>
  <c r="A93"/>
  <c r="E92"/>
  <c r="G123"/>
  <c r="F101"/>
  <c r="G101" s="1"/>
  <c r="E8"/>
  <c r="G8" s="1"/>
  <c r="D43"/>
  <c r="B44"/>
  <c r="C43"/>
  <c r="E43" s="1"/>
  <c r="D124"/>
  <c r="E124"/>
  <c r="B125"/>
  <c r="F124"/>
  <c r="D102"/>
  <c r="A103"/>
  <c r="C102"/>
  <c r="E102" s="1"/>
  <c r="A10"/>
  <c r="D9"/>
  <c r="F9" s="1"/>
  <c r="E42"/>
  <c r="G42" s="1"/>
  <c r="F113"/>
  <c r="G113" s="1"/>
  <c r="G91"/>
  <c r="E114" l="1"/>
  <c r="D125"/>
  <c r="E125" s="1"/>
  <c r="B126"/>
  <c r="B45"/>
  <c r="D44"/>
  <c r="C44"/>
  <c r="E44" s="1"/>
  <c r="D93"/>
  <c r="A94"/>
  <c r="E93"/>
  <c r="F93"/>
  <c r="D115"/>
  <c r="B116"/>
  <c r="C115"/>
  <c r="E115" s="1"/>
  <c r="E9"/>
  <c r="G9" s="1"/>
  <c r="F102"/>
  <c r="G102" s="1"/>
  <c r="E53"/>
  <c r="G53" s="1"/>
  <c r="E136"/>
  <c r="G136" s="1"/>
  <c r="E21"/>
  <c r="G21" s="1"/>
  <c r="E65"/>
  <c r="G65" s="1"/>
  <c r="E80"/>
  <c r="G80" s="1"/>
  <c r="A11"/>
  <c r="D10"/>
  <c r="F10" s="1"/>
  <c r="D103"/>
  <c r="A104"/>
  <c r="C103"/>
  <c r="E103" s="1"/>
  <c r="B55"/>
  <c r="D54"/>
  <c r="E54" s="1"/>
  <c r="F54"/>
  <c r="B138"/>
  <c r="D137"/>
  <c r="E137" s="1"/>
  <c r="G137" s="1"/>
  <c r="F137"/>
  <c r="A23"/>
  <c r="D22"/>
  <c r="E22" s="1"/>
  <c r="G22" s="1"/>
  <c r="F22"/>
  <c r="B67"/>
  <c r="D66"/>
  <c r="E66" s="1"/>
  <c r="G66" s="1"/>
  <c r="F66"/>
  <c r="A82"/>
  <c r="D81"/>
  <c r="E81" s="1"/>
  <c r="G81" s="1"/>
  <c r="F81"/>
  <c r="G124"/>
  <c r="F43"/>
  <c r="G43" s="1"/>
  <c r="G92"/>
  <c r="F114"/>
  <c r="G114" s="1"/>
  <c r="G54" l="1"/>
  <c r="A83"/>
  <c r="D82"/>
  <c r="E82" s="1"/>
  <c r="D104"/>
  <c r="A105"/>
  <c r="C104"/>
  <c r="E104" s="1"/>
  <c r="B117"/>
  <c r="D116"/>
  <c r="F116" s="1"/>
  <c r="C116"/>
  <c r="D94"/>
  <c r="F94" s="1"/>
  <c r="A95"/>
  <c r="E94"/>
  <c r="D45"/>
  <c r="B46"/>
  <c r="C45"/>
  <c r="E45" s="1"/>
  <c r="D126"/>
  <c r="E126" s="1"/>
  <c r="B127"/>
  <c r="E10"/>
  <c r="G10" s="1"/>
  <c r="B68"/>
  <c r="D67"/>
  <c r="E67" s="1"/>
  <c r="A24"/>
  <c r="D23"/>
  <c r="E23" s="1"/>
  <c r="F23"/>
  <c r="B139"/>
  <c r="D138"/>
  <c r="E138" s="1"/>
  <c r="B56"/>
  <c r="D55"/>
  <c r="E55" s="1"/>
  <c r="F55"/>
  <c r="A12"/>
  <c r="D11"/>
  <c r="E11" s="1"/>
  <c r="F103"/>
  <c r="G103" s="1"/>
  <c r="F115"/>
  <c r="G115" s="1"/>
  <c r="G93"/>
  <c r="F44"/>
  <c r="G44" s="1"/>
  <c r="F125"/>
  <c r="G125" s="1"/>
  <c r="G55" l="1"/>
  <c r="F138"/>
  <c r="G138" s="1"/>
  <c r="G23"/>
  <c r="F67"/>
  <c r="G67" s="1"/>
  <c r="F126"/>
  <c r="F82"/>
  <c r="G82" s="1"/>
  <c r="B57"/>
  <c r="D56"/>
  <c r="E56" s="1"/>
  <c r="A13"/>
  <c r="D12"/>
  <c r="F12" s="1"/>
  <c r="D127"/>
  <c r="E127" s="1"/>
  <c r="B128"/>
  <c r="B47"/>
  <c r="D46"/>
  <c r="C46"/>
  <c r="D95"/>
  <c r="F95" s="1"/>
  <c r="A96"/>
  <c r="E95"/>
  <c r="D117"/>
  <c r="B118"/>
  <c r="C117"/>
  <c r="E117" s="1"/>
  <c r="D105"/>
  <c r="A106"/>
  <c r="C105"/>
  <c r="E105" s="1"/>
  <c r="A84"/>
  <c r="D83"/>
  <c r="F83" s="1"/>
  <c r="F11"/>
  <c r="G11" s="1"/>
  <c r="E116"/>
  <c r="G116" s="1"/>
  <c r="B140"/>
  <c r="D139"/>
  <c r="F139" s="1"/>
  <c r="A25"/>
  <c r="D24"/>
  <c r="F24" s="1"/>
  <c r="B69"/>
  <c r="D68"/>
  <c r="F68" s="1"/>
  <c r="G126"/>
  <c r="F45"/>
  <c r="G45" s="1"/>
  <c r="G94"/>
  <c r="G104"/>
  <c r="F104"/>
  <c r="F46" l="1"/>
  <c r="F127"/>
  <c r="F56"/>
  <c r="G56" s="1"/>
  <c r="D106"/>
  <c r="A107"/>
  <c r="C106"/>
  <c r="E106" s="1"/>
  <c r="B58"/>
  <c r="D57"/>
  <c r="E57" s="1"/>
  <c r="E68"/>
  <c r="G68" s="1"/>
  <c r="E24"/>
  <c r="G24" s="1"/>
  <c r="E139"/>
  <c r="G139" s="1"/>
  <c r="E83"/>
  <c r="G83" s="1"/>
  <c r="F117"/>
  <c r="G117" s="1"/>
  <c r="G95"/>
  <c r="G127"/>
  <c r="E12"/>
  <c r="G12" s="1"/>
  <c r="B70"/>
  <c r="D69"/>
  <c r="F69" s="1"/>
  <c r="A26"/>
  <c r="D25"/>
  <c r="F25" s="1"/>
  <c r="B141"/>
  <c r="D140"/>
  <c r="F140" s="1"/>
  <c r="A85"/>
  <c r="D84"/>
  <c r="F84" s="1"/>
  <c r="B119"/>
  <c r="D118"/>
  <c r="C118"/>
  <c r="D96"/>
  <c r="F96" s="1"/>
  <c r="A97"/>
  <c r="E96"/>
  <c r="D47"/>
  <c r="B48"/>
  <c r="C47"/>
  <c r="E47" s="1"/>
  <c r="D128"/>
  <c r="E128" s="1"/>
  <c r="B129"/>
  <c r="A14"/>
  <c r="F13"/>
  <c r="D13"/>
  <c r="E13" s="1"/>
  <c r="G105"/>
  <c r="F105"/>
  <c r="E46"/>
  <c r="G46" s="1"/>
  <c r="G13" l="1"/>
  <c r="E118"/>
  <c r="F57"/>
  <c r="G57" s="1"/>
  <c r="A15"/>
  <c r="D14"/>
  <c r="F14" s="1"/>
  <c r="D129"/>
  <c r="E129"/>
  <c r="B130"/>
  <c r="F129"/>
  <c r="D48"/>
  <c r="C48"/>
  <c r="E48" s="1"/>
  <c r="D97"/>
  <c r="E97"/>
  <c r="F97"/>
  <c r="C160" s="1"/>
  <c r="D119"/>
  <c r="F119" s="1"/>
  <c r="C164" s="1"/>
  <c r="C119"/>
  <c r="B59"/>
  <c r="D58"/>
  <c r="F58" s="1"/>
  <c r="E84"/>
  <c r="G84" s="1"/>
  <c r="E140"/>
  <c r="G140" s="1"/>
  <c r="E25"/>
  <c r="G25" s="1"/>
  <c r="E69"/>
  <c r="G69" s="1"/>
  <c r="F106"/>
  <c r="G106" s="1"/>
  <c r="A86"/>
  <c r="D85"/>
  <c r="E85" s="1"/>
  <c r="D141"/>
  <c r="E141" s="1"/>
  <c r="D26"/>
  <c r="E26" s="1"/>
  <c r="D70"/>
  <c r="E70" s="1"/>
  <c r="D107"/>
  <c r="A108"/>
  <c r="C107"/>
  <c r="E107" s="1"/>
  <c r="F128"/>
  <c r="G128" s="1"/>
  <c r="F47"/>
  <c r="G47" s="1"/>
  <c r="G96"/>
  <c r="F118"/>
  <c r="G118" s="1"/>
  <c r="F107" l="1"/>
  <c r="G107" s="1"/>
  <c r="F26"/>
  <c r="C148" s="1"/>
  <c r="F85"/>
  <c r="G85" s="1"/>
  <c r="B156"/>
  <c r="B168"/>
  <c r="E86"/>
  <c r="D86"/>
  <c r="F86"/>
  <c r="C158" s="1"/>
  <c r="G97"/>
  <c r="A159" s="1"/>
  <c r="B160"/>
  <c r="B152"/>
  <c r="E58"/>
  <c r="G58" s="1"/>
  <c r="G129"/>
  <c r="E14"/>
  <c r="G14" s="1"/>
  <c r="G26"/>
  <c r="A147" s="1"/>
  <c r="B148"/>
  <c r="D108"/>
  <c r="C108"/>
  <c r="D59"/>
  <c r="E59" s="1"/>
  <c r="D130"/>
  <c r="E130" s="1"/>
  <c r="F130"/>
  <c r="C166" s="1"/>
  <c r="D15"/>
  <c r="F15" s="1"/>
  <c r="C146" s="1"/>
  <c r="F70"/>
  <c r="C156" s="1"/>
  <c r="F141"/>
  <c r="C168" s="1"/>
  <c r="E119"/>
  <c r="F48"/>
  <c r="C152" s="1"/>
  <c r="F59" l="1"/>
  <c r="C154" s="1"/>
  <c r="F108"/>
  <c r="C162" s="1"/>
  <c r="B166"/>
  <c r="G130"/>
  <c r="A165" s="1"/>
  <c r="G59"/>
  <c r="A153" s="1"/>
  <c r="B154"/>
  <c r="G86"/>
  <c r="A157" s="1"/>
  <c r="B158"/>
  <c r="E15"/>
  <c r="G141"/>
  <c r="A167" s="1"/>
  <c r="G70"/>
  <c r="A155" s="1"/>
  <c r="G119"/>
  <c r="A163" s="1"/>
  <c r="B164"/>
  <c r="E108"/>
  <c r="G48"/>
  <c r="A151" s="1"/>
  <c r="G15" l="1"/>
  <c r="A145" s="1"/>
  <c r="B146"/>
  <c r="G108"/>
  <c r="A161" s="1"/>
  <c r="B162"/>
</calcChain>
</file>

<file path=xl/sharedStrings.xml><?xml version="1.0" encoding="utf-8"?>
<sst xmlns="http://schemas.openxmlformats.org/spreadsheetml/2006/main" count="214" uniqueCount="66">
  <si>
    <t>DIAGRAMAS DE INTERACCION</t>
  </si>
  <si>
    <r>
      <t xml:space="preserve">Este programa determina el Diagrama de </t>
    </r>
    <r>
      <rPr>
        <b/>
        <sz val="10"/>
        <rFont val="Arial"/>
        <family val="2"/>
      </rPr>
      <t>interacción</t>
    </r>
    <r>
      <rPr>
        <sz val="10"/>
        <rFont val="Arial"/>
      </rPr>
      <t xml:space="preserve"> </t>
    </r>
  </si>
  <si>
    <t>para barras de sección rectangular</t>
  </si>
  <si>
    <t xml:space="preserve">Calcula </t>
  </si>
  <si>
    <t>Unidades</t>
  </si>
  <si>
    <t>Fórmula</t>
  </si>
  <si>
    <r>
      <t>s</t>
    </r>
    <r>
      <rPr>
        <b/>
        <sz val="10"/>
        <rFont val="Arial"/>
        <family val="2"/>
      </rPr>
      <t>uc</t>
    </r>
  </si>
  <si>
    <t>Tensión normal última a compresión</t>
  </si>
  <si>
    <t>MPa</t>
  </si>
  <si>
    <r>
      <t xml:space="preserve"> = </t>
    </r>
    <r>
      <rPr>
        <sz val="14"/>
        <rFont val="Symbol"/>
        <family val="1"/>
        <charset val="2"/>
      </rPr>
      <t>e</t>
    </r>
    <r>
      <rPr>
        <sz val="10"/>
        <rFont val="Arial"/>
      </rPr>
      <t>ec * E</t>
    </r>
  </si>
  <si>
    <r>
      <t>s</t>
    </r>
    <r>
      <rPr>
        <b/>
        <sz val="10"/>
        <rFont val="Arial"/>
        <family val="2"/>
      </rPr>
      <t>ut</t>
    </r>
  </si>
  <si>
    <t>Tensión normal última a tracción</t>
  </si>
  <si>
    <r>
      <t xml:space="preserve"> = </t>
    </r>
    <r>
      <rPr>
        <sz val="14"/>
        <rFont val="Symbol"/>
        <family val="1"/>
        <charset val="2"/>
      </rPr>
      <t>e</t>
    </r>
    <r>
      <rPr>
        <sz val="10"/>
        <rFont val="Arial"/>
      </rPr>
      <t>et * E</t>
    </r>
  </si>
  <si>
    <t>Datos a ingresar</t>
  </si>
  <si>
    <r>
      <t>e</t>
    </r>
    <r>
      <rPr>
        <b/>
        <sz val="10"/>
        <rFont val="Arial"/>
        <family val="2"/>
      </rPr>
      <t>uc</t>
    </r>
  </si>
  <si>
    <t>Deformación específica última a compresión</t>
  </si>
  <si>
    <t>o/oo (por mil)</t>
  </si>
  <si>
    <r>
      <t>e</t>
    </r>
    <r>
      <rPr>
        <b/>
        <sz val="10"/>
        <rFont val="Arial"/>
        <family val="2"/>
      </rPr>
      <t>ec</t>
    </r>
  </si>
  <si>
    <t>Deformación específica elástica a compresión</t>
  </si>
  <si>
    <r>
      <t>e</t>
    </r>
    <r>
      <rPr>
        <b/>
        <sz val="10"/>
        <rFont val="Arial"/>
        <family val="2"/>
      </rPr>
      <t>et</t>
    </r>
  </si>
  <si>
    <t>Deformación específica elástica a tracción</t>
  </si>
  <si>
    <r>
      <t>e</t>
    </r>
    <r>
      <rPr>
        <b/>
        <sz val="10"/>
        <rFont val="Arial"/>
        <family val="2"/>
      </rPr>
      <t>ut</t>
    </r>
  </si>
  <si>
    <t>Deformación específica última a tracción</t>
  </si>
  <si>
    <t>E</t>
  </si>
  <si>
    <t>Módulo de Elasticidad Longitudinal</t>
  </si>
  <si>
    <t>h</t>
  </si>
  <si>
    <t>altura de la sección</t>
  </si>
  <si>
    <t>m</t>
  </si>
  <si>
    <t>s</t>
  </si>
  <si>
    <t>e</t>
  </si>
  <si>
    <t>Observaciones</t>
  </si>
  <si>
    <t>Tuc    (MPa)</t>
  </si>
  <si>
    <t>Tut     (MPa)</t>
  </si>
  <si>
    <t>Euc     (o/oo)</t>
  </si>
  <si>
    <t>Eec     (o/oo)</t>
  </si>
  <si>
    <t>Eet      (o/oo)</t>
  </si>
  <si>
    <t>Eut      (o/oo)</t>
  </si>
  <si>
    <t>E      (Mpa)</t>
  </si>
  <si>
    <t>h          (m)</t>
  </si>
  <si>
    <t>b</t>
  </si>
  <si>
    <t>M</t>
  </si>
  <si>
    <t>N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</si>
  <si>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</si>
  <si>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</si>
  <si>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</si>
  <si>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</si>
  <si>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</si>
  <si>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</si>
  <si>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</si>
  <si>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</si>
  <si>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</si>
  <si>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</si>
  <si>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</si>
  <si>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</si>
  <si>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 xml:space="preserve">Lineas de excentricidad </t>
  </si>
  <si>
    <t>Excentricidades por zona</t>
  </si>
  <si>
    <t>b        (m)</t>
  </si>
  <si>
    <t>para material elasto plástico ideal (EPI) y para material elasto plástico real (EPR)</t>
  </si>
  <si>
    <r>
      <t xml:space="preserve">y grafica la </t>
    </r>
    <r>
      <rPr>
        <b/>
        <sz val="10"/>
        <rFont val="Arial"/>
        <family val="2"/>
      </rPr>
      <t>excentricidad</t>
    </r>
    <r>
      <rPr>
        <sz val="10"/>
        <rFont val="Arial"/>
      </rPr>
      <t xml:space="preserve"> para diversos planos límites de deformación</t>
    </r>
  </si>
  <si>
    <t xml:space="preserve">El diagrama de interacción para material EPI (p=1) es la función exterior de linea </t>
  </si>
  <si>
    <t xml:space="preserve">continua, para el material EPR es la función interior de puntos unida con una linea </t>
  </si>
  <si>
    <r>
      <t>e</t>
    </r>
    <r>
      <rPr>
        <b/>
        <sz val="10"/>
        <rFont val="Arial"/>
        <family val="2"/>
      </rPr>
      <t>s</t>
    </r>
  </si>
  <si>
    <r>
      <t>e</t>
    </r>
    <r>
      <rPr>
        <b/>
        <sz val="10"/>
        <rFont val="Arial"/>
        <family val="2"/>
      </rPr>
      <t>i</t>
    </r>
  </si>
  <si>
    <t>a'</t>
  </si>
  <si>
    <t>c'</t>
  </si>
  <si>
    <t>ancho de la sección</t>
  </si>
</sst>
</file>

<file path=xl/styles.xml><?xml version="1.0" encoding="utf-8"?>
<styleSheet xmlns="http://schemas.openxmlformats.org/spreadsheetml/2006/main">
  <numFmts count="1">
    <numFmt numFmtId="186" formatCode="0.000"/>
  </numFmts>
  <fonts count="10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Symbol"/>
      <family val="1"/>
      <charset val="2"/>
    </font>
    <font>
      <b/>
      <sz val="13"/>
      <name val="Symbol"/>
      <family val="1"/>
      <charset val="2"/>
    </font>
    <font>
      <sz val="14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Alignment="1">
      <alignment horizontal="left"/>
    </xf>
    <xf numFmtId="0" fontId="0" fillId="0" borderId="1" xfId="0" applyFill="1" applyBorder="1"/>
    <xf numFmtId="0" fontId="1" fillId="2" borderId="2" xfId="0" applyFont="1" applyFill="1" applyBorder="1"/>
    <xf numFmtId="186" fontId="0" fillId="0" borderId="0" xfId="0" applyNumberFormat="1"/>
    <xf numFmtId="0" fontId="2" fillId="2" borderId="0" xfId="0" applyFont="1" applyFill="1" applyBorder="1"/>
    <xf numFmtId="0" fontId="2" fillId="2" borderId="3" xfId="0" applyFont="1" applyFill="1" applyBorder="1"/>
    <xf numFmtId="0" fontId="0" fillId="0" borderId="3" xfId="0" applyBorder="1"/>
    <xf numFmtId="186" fontId="0" fillId="0" borderId="3" xfId="0" applyNumberFormat="1" applyBorder="1"/>
    <xf numFmtId="0" fontId="2" fillId="3" borderId="0" xfId="0" applyFont="1" applyFill="1" applyBorder="1"/>
    <xf numFmtId="186" fontId="0" fillId="0" borderId="0" xfId="0" applyNumberFormat="1" applyBorder="1"/>
    <xf numFmtId="0" fontId="2" fillId="4" borderId="0" xfId="0" applyFont="1" applyFill="1" applyBorder="1"/>
    <xf numFmtId="0" fontId="0" fillId="4" borderId="0" xfId="0" applyFill="1" applyBorder="1"/>
    <xf numFmtId="0" fontId="2" fillId="4" borderId="4" xfId="0" applyFont="1" applyFill="1" applyBorder="1"/>
    <xf numFmtId="0" fontId="2" fillId="4" borderId="3" xfId="0" applyFont="1" applyFill="1" applyBorder="1"/>
    <xf numFmtId="0" fontId="2" fillId="3" borderId="3" xfId="0" applyFont="1" applyFill="1" applyBorder="1"/>
    <xf numFmtId="0" fontId="0" fillId="2" borderId="0" xfId="0" applyFill="1"/>
    <xf numFmtId="0" fontId="0" fillId="3" borderId="0" xfId="0" applyFill="1"/>
    <xf numFmtId="0" fontId="0" fillId="3" borderId="3" xfId="0" applyFill="1" applyBorder="1"/>
    <xf numFmtId="2" fontId="0" fillId="0" borderId="0" xfId="0" applyNumberFormat="1"/>
    <xf numFmtId="2" fontId="0" fillId="0" borderId="3" xfId="0" applyNumberFormat="1" applyBorder="1"/>
    <xf numFmtId="2" fontId="0" fillId="0" borderId="0" xfId="0" applyNumberFormat="1" applyBorder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186" fontId="4" fillId="2" borderId="1" xfId="0" applyNumberFormat="1" applyFont="1" applyFill="1" applyBorder="1"/>
    <xf numFmtId="0" fontId="4" fillId="2" borderId="8" xfId="0" applyFont="1" applyFill="1" applyBorder="1"/>
    <xf numFmtId="0" fontId="5" fillId="0" borderId="9" xfId="0" applyFont="1" applyFill="1" applyBorder="1"/>
    <xf numFmtId="0" fontId="5" fillId="0" borderId="1" xfId="0" applyFont="1" applyFill="1" applyBorder="1"/>
    <xf numFmtId="0" fontId="1" fillId="2" borderId="0" xfId="0" applyFont="1" applyFill="1"/>
    <xf numFmtId="0" fontId="1" fillId="0" borderId="2" xfId="0" applyFont="1" applyBorder="1"/>
    <xf numFmtId="0" fontId="0" fillId="0" borderId="2" xfId="0" applyBorder="1"/>
    <xf numFmtId="0" fontId="0" fillId="0" borderId="10" xfId="0" applyBorder="1"/>
    <xf numFmtId="0" fontId="0" fillId="0" borderId="11" xfId="0" applyBorder="1"/>
    <xf numFmtId="49" fontId="0" fillId="0" borderId="2" xfId="0" applyNumberFormat="1" applyBorder="1"/>
    <xf numFmtId="0" fontId="0" fillId="0" borderId="12" xfId="0" applyBorder="1"/>
    <xf numFmtId="0" fontId="0" fillId="0" borderId="13" xfId="0" applyBorder="1"/>
    <xf numFmtId="0" fontId="0" fillId="2" borderId="14" xfId="0" applyFill="1" applyBorder="1"/>
    <xf numFmtId="0" fontId="0" fillId="2" borderId="8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0" borderId="21" xfId="0" applyBorder="1"/>
    <xf numFmtId="0" fontId="8" fillId="0" borderId="2" xfId="0" applyFont="1" applyBorder="1"/>
    <xf numFmtId="0" fontId="8" fillId="0" borderId="17" xfId="0" applyFont="1" applyBorder="1"/>
    <xf numFmtId="0" fontId="7" fillId="0" borderId="0" xfId="0" applyFont="1"/>
    <xf numFmtId="0" fontId="8" fillId="0" borderId="4" xfId="0" applyFont="1" applyBorder="1"/>
    <xf numFmtId="0" fontId="8" fillId="0" borderId="22" xfId="0" applyFont="1" applyBorder="1"/>
    <xf numFmtId="0" fontId="8" fillId="0" borderId="0" xfId="0" applyFont="1" applyBorder="1"/>
    <xf numFmtId="0" fontId="7" fillId="0" borderId="23" xfId="0" applyFont="1" applyBorder="1" applyAlignment="1">
      <alignment horizontal="right"/>
    </xf>
    <xf numFmtId="0" fontId="0" fillId="3" borderId="8" xfId="0" applyFill="1" applyBorder="1"/>
    <xf numFmtId="0" fontId="0" fillId="0" borderId="4" xfId="0" applyFill="1" applyBorder="1"/>
    <xf numFmtId="0" fontId="0" fillId="0" borderId="0" xfId="0" applyFill="1" applyBorder="1"/>
    <xf numFmtId="0" fontId="0" fillId="0" borderId="3" xfId="0" applyFill="1" applyBorder="1"/>
    <xf numFmtId="0" fontId="1" fillId="0" borderId="0" xfId="0" applyFont="1" applyFill="1" applyBorder="1"/>
    <xf numFmtId="0" fontId="1" fillId="0" borderId="3" xfId="0" applyFont="1" applyFill="1" applyBorder="1"/>
    <xf numFmtId="0" fontId="0" fillId="5" borderId="0" xfId="0" applyFill="1" applyBorder="1"/>
    <xf numFmtId="0" fontId="0" fillId="5" borderId="3" xfId="0" applyFill="1" applyBorder="1"/>
    <xf numFmtId="0" fontId="0" fillId="5" borderId="14" xfId="0" applyFill="1" applyBorder="1"/>
    <xf numFmtId="0" fontId="0" fillId="5" borderId="8" xfId="0" applyFill="1" applyBorder="1"/>
    <xf numFmtId="0" fontId="0" fillId="5" borderId="15" xfId="0" applyFill="1" applyBorder="1"/>
    <xf numFmtId="0" fontId="0" fillId="5" borderId="16" xfId="0" applyFill="1" applyBorder="1"/>
    <xf numFmtId="0" fontId="0" fillId="5" borderId="17" xfId="0" applyFill="1" applyBorder="1"/>
    <xf numFmtId="0" fontId="0" fillId="5" borderId="18" xfId="0" applyFill="1" applyBorder="1"/>
    <xf numFmtId="0" fontId="0" fillId="5" borderId="19" xfId="0" applyFill="1" applyBorder="1"/>
    <xf numFmtId="0" fontId="0" fillId="5" borderId="20" xfId="0" applyFill="1" applyBorder="1"/>
    <xf numFmtId="0" fontId="0" fillId="4" borderId="14" xfId="0" applyFill="1" applyBorder="1"/>
    <xf numFmtId="0" fontId="0" fillId="4" borderId="8" xfId="0" applyFill="1" applyBorder="1"/>
    <xf numFmtId="0" fontId="0" fillId="4" borderId="15" xfId="0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19" xfId="0" applyFill="1" applyBorder="1"/>
    <xf numFmtId="0" fontId="0" fillId="4" borderId="20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19" xfId="0" applyFill="1" applyBorder="1"/>
    <xf numFmtId="0" fontId="0" fillId="3" borderId="20" xfId="0" applyFill="1" applyBorder="1"/>
    <xf numFmtId="0" fontId="0" fillId="0" borderId="4" xfId="0" applyBorder="1"/>
    <xf numFmtId="0" fontId="0" fillId="0" borderId="8" xfId="0" applyBorder="1"/>
    <xf numFmtId="0" fontId="0" fillId="3" borderId="4" xfId="0" applyFill="1" applyBorder="1"/>
    <xf numFmtId="0" fontId="0" fillId="0" borderId="0" xfId="0" applyBorder="1"/>
    <xf numFmtId="2" fontId="0" fillId="0" borderId="17" xfId="0" applyNumberFormat="1" applyBorder="1"/>
    <xf numFmtId="0" fontId="0" fillId="0" borderId="17" xfId="0" applyBorder="1"/>
    <xf numFmtId="2" fontId="0" fillId="0" borderId="20" xfId="0" applyNumberFormat="1" applyBorder="1"/>
    <xf numFmtId="186" fontId="0" fillId="0" borderId="4" xfId="0" applyNumberFormat="1" applyBorder="1"/>
    <xf numFmtId="2" fontId="0" fillId="0" borderId="1" xfId="0" applyNumberFormat="1" applyFill="1" applyBorder="1"/>
    <xf numFmtId="186" fontId="1" fillId="0" borderId="0" xfId="0" applyNumberFormat="1" applyFont="1" applyFill="1" applyBorder="1"/>
    <xf numFmtId="186" fontId="0" fillId="0" borderId="17" xfId="0" applyNumberFormat="1" applyBorder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8" fillId="0" borderId="17" xfId="0" applyFont="1" applyBorder="1" applyAlignment="1">
      <alignment horizontal="right"/>
    </xf>
    <xf numFmtId="0" fontId="0" fillId="0" borderId="13" xfId="0" applyBorder="1" applyAlignment="1">
      <alignment horizontal="right"/>
    </xf>
    <xf numFmtId="2" fontId="0" fillId="0" borderId="2" xfId="0" applyNumberFormat="1" applyBorder="1"/>
    <xf numFmtId="0" fontId="6" fillId="0" borderId="0" xfId="0" applyFont="1" applyFill="1" applyAlignment="1">
      <alignment horizontal="center" vertical="center"/>
    </xf>
    <xf numFmtId="2" fontId="0" fillId="0" borderId="0" xfId="0" applyNumberFormat="1" applyFill="1" applyBorder="1"/>
    <xf numFmtId="0" fontId="2" fillId="0" borderId="0" xfId="0" applyFont="1" applyFill="1" applyBorder="1"/>
    <xf numFmtId="0" fontId="2" fillId="4" borderId="15" xfId="0" applyFont="1" applyFill="1" applyBorder="1"/>
    <xf numFmtId="0" fontId="2" fillId="4" borderId="18" xfId="0" applyFont="1" applyFill="1" applyBorder="1"/>
    <xf numFmtId="0" fontId="2" fillId="4" borderId="24" xfId="0" applyFont="1" applyFill="1" applyBorder="1"/>
    <xf numFmtId="0" fontId="2" fillId="2" borderId="4" xfId="0" applyFont="1" applyFill="1" applyBorder="1"/>
    <xf numFmtId="2" fontId="0" fillId="0" borderId="4" xfId="0" applyNumberFormat="1" applyBorder="1"/>
    <xf numFmtId="0" fontId="2" fillId="2" borderId="24" xfId="0" applyFont="1" applyFill="1" applyBorder="1"/>
    <xf numFmtId="0" fontId="2" fillId="2" borderId="15" xfId="0" applyFont="1" applyFill="1" applyBorder="1"/>
    <xf numFmtId="0" fontId="2" fillId="2" borderId="18" xfId="0" applyFont="1" applyFill="1" applyBorder="1"/>
    <xf numFmtId="0" fontId="2" fillId="3" borderId="15" xfId="0" applyFont="1" applyFill="1" applyBorder="1"/>
    <xf numFmtId="0" fontId="2" fillId="3" borderId="18" xfId="0" applyFont="1" applyFill="1" applyBorder="1"/>
    <xf numFmtId="0" fontId="1" fillId="2" borderId="25" xfId="0" applyFont="1" applyFill="1" applyBorder="1" applyAlignment="1">
      <alignment horizontal="right"/>
    </xf>
    <xf numFmtId="186" fontId="1" fillId="2" borderId="26" xfId="0" applyNumberFormat="1" applyFont="1" applyFill="1" applyBorder="1" applyAlignment="1">
      <alignment horizontal="right"/>
    </xf>
    <xf numFmtId="0" fontId="7" fillId="2" borderId="25" xfId="0" applyFont="1" applyFill="1" applyBorder="1" applyAlignment="1">
      <alignment horizontal="right"/>
    </xf>
    <xf numFmtId="0" fontId="8" fillId="2" borderId="27" xfId="0" applyFont="1" applyFill="1" applyBorder="1" applyAlignment="1">
      <alignment horizontal="right"/>
    </xf>
    <xf numFmtId="0" fontId="8" fillId="2" borderId="25" xfId="0" applyFont="1" applyFill="1" applyBorder="1" applyAlignment="1">
      <alignment horizontal="right"/>
    </xf>
    <xf numFmtId="186" fontId="1" fillId="2" borderId="25" xfId="0" applyNumberFormat="1" applyFont="1" applyFill="1" applyBorder="1" applyAlignment="1">
      <alignment horizontal="right"/>
    </xf>
    <xf numFmtId="0" fontId="1" fillId="2" borderId="26" xfId="0" applyFont="1" applyFill="1" applyBorder="1" applyAlignment="1">
      <alignment horizontal="right"/>
    </xf>
    <xf numFmtId="0" fontId="0" fillId="0" borderId="28" xfId="0" applyFill="1" applyBorder="1"/>
    <xf numFmtId="0" fontId="0" fillId="0" borderId="29" xfId="0" applyFill="1" applyBorder="1"/>
    <xf numFmtId="2" fontId="0" fillId="0" borderId="29" xfId="0" applyNumberFormat="1" applyFill="1" applyBorder="1"/>
    <xf numFmtId="0" fontId="0" fillId="0" borderId="30" xfId="0" applyFill="1" applyBorder="1"/>
    <xf numFmtId="186" fontId="4" fillId="2" borderId="7" xfId="0" applyNumberFormat="1" applyFont="1" applyFill="1" applyBorder="1"/>
    <xf numFmtId="0" fontId="0" fillId="0" borderId="31" xfId="0" applyFill="1" applyBorder="1"/>
    <xf numFmtId="0" fontId="5" fillId="3" borderId="1" xfId="0" applyFont="1" applyFill="1" applyBorder="1" applyProtection="1">
      <protection locked="0"/>
    </xf>
    <xf numFmtId="2" fontId="5" fillId="3" borderId="1" xfId="0" applyNumberFormat="1" applyFont="1" applyFill="1" applyBorder="1" applyProtection="1">
      <protection locked="0"/>
    </xf>
    <xf numFmtId="0" fontId="5" fillId="3" borderId="32" xfId="0" applyFont="1" applyFill="1" applyBorder="1" applyProtection="1">
      <protection locked="0"/>
    </xf>
    <xf numFmtId="11" fontId="5" fillId="3" borderId="1" xfId="0" applyNumberFormat="1" applyFont="1" applyFill="1" applyBorder="1" applyProtection="1">
      <protection locked="0"/>
    </xf>
    <xf numFmtId="11" fontId="0" fillId="0" borderId="29" xfId="0" applyNumberFormat="1" applyFill="1" applyBorder="1"/>
    <xf numFmtId="0" fontId="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Diagrama de interacción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smoothMarker"/>
        <c:ser>
          <c:idx val="0"/>
          <c:order val="0"/>
          <c:tx>
            <c:v>Diagrama de interacción 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(excentricidad!$E$5:$E$70,excentricidad!$E$76:$E$141)</c:f>
              <c:numCache>
                <c:formatCode>0.00</c:formatCode>
                <c:ptCount val="132"/>
                <c:pt idx="0">
                  <c:v>0</c:v>
                </c:pt>
                <c:pt idx="1">
                  <c:v>4.5790517396791137E-2</c:v>
                </c:pt>
                <c:pt idx="2">
                  <c:v>0.17630853994490389</c:v>
                </c:pt>
                <c:pt idx="3">
                  <c:v>0.38222222222222291</c:v>
                </c:pt>
                <c:pt idx="4">
                  <c:v>0.65532451165721572</c:v>
                </c:pt>
                <c:pt idx="5">
                  <c:v>0.98838086615361531</c:v>
                </c:pt>
                <c:pt idx="6">
                  <c:v>1.3750000000000013</c:v>
                </c:pt>
                <c:pt idx="7">
                  <c:v>1.8095238095238113</c:v>
                </c:pt>
                <c:pt idx="8">
                  <c:v>2.2869333333333359</c:v>
                </c:pt>
                <c:pt idx="9">
                  <c:v>2.8027681660899675</c:v>
                </c:pt>
                <c:pt idx="10">
                  <c:v>3.3530571992110474</c:v>
                </c:pt>
                <c:pt idx="11">
                  <c:v>3.3530571992110461</c:v>
                </c:pt>
                <c:pt idx="12">
                  <c:v>155.5555555555556</c:v>
                </c:pt>
                <c:pt idx="13">
                  <c:v>294.01153836113502</c:v>
                </c:pt>
                <c:pt idx="14">
                  <c:v>429.4879997992648</c:v>
                </c:pt>
                <c:pt idx="15">
                  <c:v>563.99523903987324</c:v>
                </c:pt>
                <c:pt idx="16">
                  <c:v>698.06898080546671</c:v>
                </c:pt>
                <c:pt idx="17">
                  <c:v>831.911795227742</c:v>
                </c:pt>
                <c:pt idx="18">
                  <c:v>965.61710265692238</c:v>
                </c:pt>
                <c:pt idx="19">
                  <c:v>1099.2339366082547</c:v>
                </c:pt>
                <c:pt idx="20">
                  <c:v>1232.7904998701617</c:v>
                </c:pt>
                <c:pt idx="21">
                  <c:v>1366.3041619643654</c:v>
                </c:pt>
                <c:pt idx="22">
                  <c:v>1366.3041619643652</c:v>
                </c:pt>
                <c:pt idx="23">
                  <c:v>1433.6253472116239</c:v>
                </c:pt>
                <c:pt idx="24">
                  <c:v>1479.7264329376937</c:v>
                </c:pt>
                <c:pt idx="25">
                  <c:v>1509.7844112769483</c:v>
                </c:pt>
                <c:pt idx="26">
                  <c:v>1527.6319040452822</c:v>
                </c:pt>
                <c:pt idx="27">
                  <c:v>1536.1397186789789</c:v>
                </c:pt>
                <c:pt idx="28">
                  <c:v>1537.4805569610767</c:v>
                </c:pt>
                <c:pt idx="29">
                  <c:v>1533.3138203543328</c:v>
                </c:pt>
                <c:pt idx="30">
                  <c:v>1524.9170648084955</c:v>
                </c:pt>
                <c:pt idx="31">
                  <c:v>1513.280779788905</c:v>
                </c:pt>
                <c:pt idx="32">
                  <c:v>1499.1775711115051</c:v>
                </c:pt>
                <c:pt idx="33">
                  <c:v>1499.1775711115042</c:v>
                </c:pt>
                <c:pt idx="34">
                  <c:v>1495.9986271938951</c:v>
                </c:pt>
                <c:pt idx="35">
                  <c:v>1492.7981802874783</c:v>
                </c:pt>
                <c:pt idx="36">
                  <c:v>1489.5760950703248</c:v>
                </c:pt>
                <c:pt idx="37">
                  <c:v>1486.3322352490559</c:v>
                </c:pt>
                <c:pt idx="38">
                  <c:v>1483.0664635507865</c:v>
                </c:pt>
                <c:pt idx="39">
                  <c:v>1479.7786417149823</c:v>
                </c:pt>
                <c:pt idx="40">
                  <c:v>1476.4686304852448</c:v>
                </c:pt>
                <c:pt idx="41">
                  <c:v>1473.1362896010135</c:v>
                </c:pt>
                <c:pt idx="42">
                  <c:v>1469.7814777891926</c:v>
                </c:pt>
                <c:pt idx="43">
                  <c:v>1466.4040527556992</c:v>
                </c:pt>
                <c:pt idx="44">
                  <c:v>1466.4040527556995</c:v>
                </c:pt>
                <c:pt idx="45">
                  <c:v>1465.5971785621769</c:v>
                </c:pt>
                <c:pt idx="46">
                  <c:v>1464.7902604254118</c:v>
                </c:pt>
                <c:pt idx="47">
                  <c:v>1463.9832983449733</c:v>
                </c:pt>
                <c:pt idx="48">
                  <c:v>1463.176292320479</c:v>
                </c:pt>
                <c:pt idx="49">
                  <c:v>1462.3692423515977</c:v>
                </c:pt>
                <c:pt idx="50">
                  <c:v>1461.5621484380481</c:v>
                </c:pt>
                <c:pt idx="51">
                  <c:v>1460.7550105796008</c:v>
                </c:pt>
                <c:pt idx="52">
                  <c:v>1459.947828776076</c:v>
                </c:pt>
                <c:pt idx="53">
                  <c:v>1459.1406030273463</c:v>
                </c:pt>
                <c:pt idx="54">
                  <c:v>1458.3333333333333</c:v>
                </c:pt>
                <c:pt idx="55">
                  <c:v>1458.3333333333333</c:v>
                </c:pt>
                <c:pt idx="56">
                  <c:v>1296.0000000000002</c:v>
                </c:pt>
                <c:pt idx="57">
                  <c:v>1131.9727891156465</c:v>
                </c:pt>
                <c:pt idx="58">
                  <c:v>966.46942800788952</c:v>
                </c:pt>
                <c:pt idx="59">
                  <c:v>800</c:v>
                </c:pt>
                <c:pt idx="60">
                  <c:v>633.60881542699724</c:v>
                </c:pt>
                <c:pt idx="61">
                  <c:v>469.33333333333348</c:v>
                </c:pt>
                <c:pt idx="62">
                  <c:v>311.11111111111114</c:v>
                </c:pt>
                <c:pt idx="63">
                  <c:v>166.66666666666671</c:v>
                </c:pt>
                <c:pt idx="64">
                  <c:v>51.700680272108855</c:v>
                </c:pt>
                <c:pt idx="65">
                  <c:v>0</c:v>
                </c:pt>
                <c:pt idx="66">
                  <c:v>0</c:v>
                </c:pt>
                <c:pt idx="67">
                  <c:v>-51.700680272108855</c:v>
                </c:pt>
                <c:pt idx="68">
                  <c:v>-166.66666666666671</c:v>
                </c:pt>
                <c:pt idx="69">
                  <c:v>-311.11111111111114</c:v>
                </c:pt>
                <c:pt idx="70">
                  <c:v>-469.33333333333348</c:v>
                </c:pt>
                <c:pt idx="71">
                  <c:v>-633.60881542699724</c:v>
                </c:pt>
                <c:pt idx="72">
                  <c:v>-800</c:v>
                </c:pt>
                <c:pt idx="73">
                  <c:v>-966.46942800788952</c:v>
                </c:pt>
                <c:pt idx="74">
                  <c:v>-1131.9727891156465</c:v>
                </c:pt>
                <c:pt idx="75">
                  <c:v>-1296.0000000000002</c:v>
                </c:pt>
                <c:pt idx="76">
                  <c:v>-1458.3333333333333</c:v>
                </c:pt>
                <c:pt idx="77">
                  <c:v>-1458.3333333333333</c:v>
                </c:pt>
                <c:pt idx="78">
                  <c:v>-1459.1406030273463</c:v>
                </c:pt>
                <c:pt idx="79">
                  <c:v>-1459.9478287760764</c:v>
                </c:pt>
                <c:pt idx="80">
                  <c:v>-1460.7550105796006</c:v>
                </c:pt>
                <c:pt idx="81">
                  <c:v>-1461.5621484380481</c:v>
                </c:pt>
                <c:pt idx="82">
                  <c:v>-1462.3692423515974</c:v>
                </c:pt>
                <c:pt idx="83">
                  <c:v>-1463.1762923204792</c:v>
                </c:pt>
                <c:pt idx="84">
                  <c:v>-1463.9832983449733</c:v>
                </c:pt>
                <c:pt idx="85">
                  <c:v>-1464.7902604254118</c:v>
                </c:pt>
                <c:pt idx="86">
                  <c:v>-1465.5971785621769</c:v>
                </c:pt>
                <c:pt idx="87">
                  <c:v>-1466.4040527556995</c:v>
                </c:pt>
                <c:pt idx="88">
                  <c:v>-1466.4040527556992</c:v>
                </c:pt>
                <c:pt idx="89">
                  <c:v>-1469.7814777891931</c:v>
                </c:pt>
                <c:pt idx="90">
                  <c:v>-1473.1362896010135</c:v>
                </c:pt>
                <c:pt idx="91">
                  <c:v>-1476.4686304852453</c:v>
                </c:pt>
                <c:pt idx="92">
                  <c:v>-1479.7786417149823</c:v>
                </c:pt>
                <c:pt idx="93">
                  <c:v>-1483.0664635507865</c:v>
                </c:pt>
                <c:pt idx="94">
                  <c:v>-1486.3322352490559</c:v>
                </c:pt>
                <c:pt idx="95">
                  <c:v>-1489.5760950703245</c:v>
                </c:pt>
                <c:pt idx="96">
                  <c:v>-1492.7981802874792</c:v>
                </c:pt>
                <c:pt idx="97">
                  <c:v>-1495.9986271938953</c:v>
                </c:pt>
                <c:pt idx="98">
                  <c:v>-1499.1775711115042</c:v>
                </c:pt>
                <c:pt idx="99">
                  <c:v>-1499.1775711115051</c:v>
                </c:pt>
                <c:pt idx="100">
                  <c:v>-1513.2807797889045</c:v>
                </c:pt>
                <c:pt idx="101">
                  <c:v>-1524.9170648084955</c:v>
                </c:pt>
                <c:pt idx="102">
                  <c:v>-1533.3138203543331</c:v>
                </c:pt>
                <c:pt idx="103">
                  <c:v>-1537.4805569610767</c:v>
                </c:pt>
                <c:pt idx="104">
                  <c:v>-1536.1397186789789</c:v>
                </c:pt>
                <c:pt idx="105">
                  <c:v>-1527.6319040452818</c:v>
                </c:pt>
                <c:pt idx="106">
                  <c:v>-1509.7844112769487</c:v>
                </c:pt>
                <c:pt idx="107">
                  <c:v>-1479.726432937694</c:v>
                </c:pt>
                <c:pt idx="108">
                  <c:v>-1433.6253472116239</c:v>
                </c:pt>
                <c:pt idx="109">
                  <c:v>-1366.3041619643657</c:v>
                </c:pt>
                <c:pt idx="110">
                  <c:v>-1366.3041619643654</c:v>
                </c:pt>
                <c:pt idx="111">
                  <c:v>-1232.7904998701617</c:v>
                </c:pt>
                <c:pt idx="112">
                  <c:v>-1099.2339366082547</c:v>
                </c:pt>
                <c:pt idx="113">
                  <c:v>-965.6171026569225</c:v>
                </c:pt>
                <c:pt idx="114">
                  <c:v>-831.91179522774212</c:v>
                </c:pt>
                <c:pt idx="115">
                  <c:v>-698.06898080546671</c:v>
                </c:pt>
                <c:pt idx="116">
                  <c:v>-563.99523903987324</c:v>
                </c:pt>
                <c:pt idx="117">
                  <c:v>-429.48799979926486</c:v>
                </c:pt>
                <c:pt idx="118">
                  <c:v>-294.01153836113502</c:v>
                </c:pt>
                <c:pt idx="119">
                  <c:v>-155.5555555555556</c:v>
                </c:pt>
                <c:pt idx="120">
                  <c:v>-3.3530571992110461</c:v>
                </c:pt>
                <c:pt idx="121">
                  <c:v>-3.3530571992110461</c:v>
                </c:pt>
                <c:pt idx="122">
                  <c:v>-2.8027681660899653</c:v>
                </c:pt>
                <c:pt idx="123">
                  <c:v>-2.2869333333333337</c:v>
                </c:pt>
                <c:pt idx="124">
                  <c:v>-1.80952380952381</c:v>
                </c:pt>
                <c:pt idx="125">
                  <c:v>-1.375</c:v>
                </c:pt>
                <c:pt idx="126">
                  <c:v>-0.98838086615361387</c:v>
                </c:pt>
                <c:pt idx="127">
                  <c:v>-0.65532451165721461</c:v>
                </c:pt>
                <c:pt idx="128">
                  <c:v>-0.3822222222222223</c:v>
                </c:pt>
                <c:pt idx="129">
                  <c:v>-0.17630853994490342</c:v>
                </c:pt>
                <c:pt idx="130">
                  <c:v>-4.5790517396790902E-2</c:v>
                </c:pt>
                <c:pt idx="131">
                  <c:v>-3.6684379893090212E-31</c:v>
                </c:pt>
              </c:numCache>
            </c:numRef>
          </c:xVal>
          <c:yVal>
            <c:numRef>
              <c:f>(excentricidad!$F$5:$F$70,excentricidad!$F$76:$F$141)</c:f>
              <c:numCache>
                <c:formatCode>0.00</c:formatCode>
                <c:ptCount val="132"/>
                <c:pt idx="0">
                  <c:v>100</c:v>
                </c:pt>
                <c:pt idx="1">
                  <c:v>99.88372093023257</c:v>
                </c:pt>
                <c:pt idx="2">
                  <c:v>99.545454545454561</c:v>
                </c:pt>
                <c:pt idx="3">
                  <c:v>99</c:v>
                </c:pt>
                <c:pt idx="4">
                  <c:v>98.260869565217405</c:v>
                </c:pt>
                <c:pt idx="5">
                  <c:v>97.340425531914903</c:v>
                </c:pt>
                <c:pt idx="6">
                  <c:v>96.25</c:v>
                </c:pt>
                <c:pt idx="7">
                  <c:v>95</c:v>
                </c:pt>
                <c:pt idx="8">
                  <c:v>93.600000000000009</c:v>
                </c:pt>
                <c:pt idx="9">
                  <c:v>92.058823529411768</c:v>
                </c:pt>
                <c:pt idx="10">
                  <c:v>90.384615384615387</c:v>
                </c:pt>
                <c:pt idx="11">
                  <c:v>90.384615384615401</c:v>
                </c:pt>
                <c:pt idx="12">
                  <c:v>-775.00000000000011</c:v>
                </c:pt>
                <c:pt idx="13">
                  <c:v>-1759.5132743362828</c:v>
                </c:pt>
                <c:pt idx="14">
                  <c:v>-2753.527607361963</c:v>
                </c:pt>
                <c:pt idx="15">
                  <c:v>-3750.3521126760565</c:v>
                </c:pt>
                <c:pt idx="16">
                  <c:v>-4748.3840304182513</c:v>
                </c:pt>
                <c:pt idx="17">
                  <c:v>-5747.0447284345046</c:v>
                </c:pt>
                <c:pt idx="18">
                  <c:v>-6746.0743801652898</c:v>
                </c:pt>
                <c:pt idx="19">
                  <c:v>-7745.3389830508495</c:v>
                </c:pt>
                <c:pt idx="20">
                  <c:v>-8744.7624190064835</c:v>
                </c:pt>
                <c:pt idx="21">
                  <c:v>-9744.2982456140362</c:v>
                </c:pt>
                <c:pt idx="22">
                  <c:v>-9744.298245614038</c:v>
                </c:pt>
                <c:pt idx="23">
                  <c:v>-10310.911602209942</c:v>
                </c:pt>
                <c:pt idx="24">
                  <c:v>-10818.193717277485</c:v>
                </c:pt>
                <c:pt idx="25">
                  <c:v>-11275</c:v>
                </c:pt>
                <c:pt idx="26">
                  <c:v>-11688.507109004742</c:v>
                </c:pt>
                <c:pt idx="27">
                  <c:v>-12064.592760180996</c:v>
                </c:pt>
                <c:pt idx="28">
                  <c:v>-12408.116883116882</c:v>
                </c:pt>
                <c:pt idx="29">
                  <c:v>-12723.132780082989</c:v>
                </c:pt>
                <c:pt idx="30">
                  <c:v>-13013.047808764939</c:v>
                </c:pt>
                <c:pt idx="31">
                  <c:v>-13280.747126436781</c:v>
                </c:pt>
                <c:pt idx="32">
                  <c:v>-13528.690036900369</c:v>
                </c:pt>
                <c:pt idx="33">
                  <c:v>-13528.690036900371</c:v>
                </c:pt>
                <c:pt idx="34">
                  <c:v>-13546.314428228345</c:v>
                </c:pt>
                <c:pt idx="35">
                  <c:v>-13563.984461709215</c:v>
                </c:pt>
                <c:pt idx="36">
                  <c:v>-13581.700314873126</c:v>
                </c:pt>
                <c:pt idx="37">
                  <c:v>-13599.462166172107</c:v>
                </c:pt>
                <c:pt idx="38">
                  <c:v>-13617.270194986077</c:v>
                </c:pt>
                <c:pt idx="39">
                  <c:v>-13635.124581628857</c:v>
                </c:pt>
                <c:pt idx="40">
                  <c:v>-13653.025507354312</c:v>
                </c:pt>
                <c:pt idx="41">
                  <c:v>-13670.973154362417</c:v>
                </c:pt>
                <c:pt idx="42">
                  <c:v>-13688.967705805489</c:v>
                </c:pt>
                <c:pt idx="43">
                  <c:v>-13707.009345794395</c:v>
                </c:pt>
                <c:pt idx="44">
                  <c:v>-13707.009345794391</c:v>
                </c:pt>
                <c:pt idx="45">
                  <c:v>-13711.310377064508</c:v>
                </c:pt>
                <c:pt idx="46">
                  <c:v>-13715.61097256858</c:v>
                </c:pt>
                <c:pt idx="47">
                  <c:v>-13719.911131898973</c:v>
                </c:pt>
                <c:pt idx="48">
                  <c:v>-13724.210854647539</c:v>
                </c:pt>
                <c:pt idx="49">
                  <c:v>-13728.510140405617</c:v>
                </c:pt>
                <c:pt idx="50">
                  <c:v>-13732.808988764045</c:v>
                </c:pt>
                <c:pt idx="51">
                  <c:v>-13737.107399313143</c:v>
                </c:pt>
                <c:pt idx="52">
                  <c:v>-13741.405371642724</c:v>
                </c:pt>
                <c:pt idx="53">
                  <c:v>-13745.702905342079</c:v>
                </c:pt>
                <c:pt idx="54">
                  <c:v>-13750</c:v>
                </c:pt>
                <c:pt idx="55">
                  <c:v>-13750</c:v>
                </c:pt>
                <c:pt idx="56">
                  <c:v>-14600</c:v>
                </c:pt>
                <c:pt idx="57">
                  <c:v>-15428.571428571429</c:v>
                </c:pt>
                <c:pt idx="58">
                  <c:v>-16230.769230769232</c:v>
                </c:pt>
                <c:pt idx="59">
                  <c:v>-17000</c:v>
                </c:pt>
                <c:pt idx="60">
                  <c:v>-17727.272727272728</c:v>
                </c:pt>
                <c:pt idx="61">
                  <c:v>-18400</c:v>
                </c:pt>
                <c:pt idx="62">
                  <c:v>-19000</c:v>
                </c:pt>
                <c:pt idx="63">
                  <c:v>-19500</c:v>
                </c:pt>
                <c:pt idx="64">
                  <c:v>-19857.142857142859</c:v>
                </c:pt>
                <c:pt idx="65">
                  <c:v>-20000</c:v>
                </c:pt>
                <c:pt idx="66">
                  <c:v>-20000</c:v>
                </c:pt>
                <c:pt idx="67">
                  <c:v>-19857.142857142859</c:v>
                </c:pt>
                <c:pt idx="68">
                  <c:v>-19500</c:v>
                </c:pt>
                <c:pt idx="69">
                  <c:v>-19000</c:v>
                </c:pt>
                <c:pt idx="70">
                  <c:v>-18400</c:v>
                </c:pt>
                <c:pt idx="71">
                  <c:v>-17727.272727272728</c:v>
                </c:pt>
                <c:pt idx="72">
                  <c:v>-17000</c:v>
                </c:pt>
                <c:pt idx="73">
                  <c:v>-16230.769230769232</c:v>
                </c:pt>
                <c:pt idx="74">
                  <c:v>-15428.571428571429</c:v>
                </c:pt>
                <c:pt idx="75">
                  <c:v>-14600</c:v>
                </c:pt>
                <c:pt idx="76">
                  <c:v>-13750</c:v>
                </c:pt>
                <c:pt idx="77">
                  <c:v>-13750</c:v>
                </c:pt>
                <c:pt idx="78">
                  <c:v>-13745.702905342079</c:v>
                </c:pt>
                <c:pt idx="79">
                  <c:v>-13741.405371642724</c:v>
                </c:pt>
                <c:pt idx="80">
                  <c:v>-13737.107399313143</c:v>
                </c:pt>
                <c:pt idx="81">
                  <c:v>-13732.808988764045</c:v>
                </c:pt>
                <c:pt idx="82">
                  <c:v>-13728.510140405617</c:v>
                </c:pt>
                <c:pt idx="83">
                  <c:v>-13724.210854647539</c:v>
                </c:pt>
                <c:pt idx="84">
                  <c:v>-13719.911131898973</c:v>
                </c:pt>
                <c:pt idx="85">
                  <c:v>-13715.61097256858</c:v>
                </c:pt>
                <c:pt idx="86">
                  <c:v>-13711.310377064508</c:v>
                </c:pt>
                <c:pt idx="87">
                  <c:v>-13707.009345794391</c:v>
                </c:pt>
                <c:pt idx="88">
                  <c:v>-13707.009345794395</c:v>
                </c:pt>
                <c:pt idx="89">
                  <c:v>-13688.967705805489</c:v>
                </c:pt>
                <c:pt idx="90">
                  <c:v>-13670.973154362417</c:v>
                </c:pt>
                <c:pt idx="91">
                  <c:v>-13653.025507354312</c:v>
                </c:pt>
                <c:pt idx="92">
                  <c:v>-13635.124581628857</c:v>
                </c:pt>
                <c:pt idx="93">
                  <c:v>-13617.270194986077</c:v>
                </c:pt>
                <c:pt idx="94">
                  <c:v>-13599.462166172107</c:v>
                </c:pt>
                <c:pt idx="95">
                  <c:v>-13581.700314873126</c:v>
                </c:pt>
                <c:pt idx="96">
                  <c:v>-13563.984461709215</c:v>
                </c:pt>
                <c:pt idx="97">
                  <c:v>-13546.314428228345</c:v>
                </c:pt>
                <c:pt idx="98">
                  <c:v>-13528.690036900371</c:v>
                </c:pt>
                <c:pt idx="99">
                  <c:v>-13528.690036900371</c:v>
                </c:pt>
                <c:pt idx="100">
                  <c:v>-13280.747126436785</c:v>
                </c:pt>
                <c:pt idx="101">
                  <c:v>-13013.047808764939</c:v>
                </c:pt>
                <c:pt idx="102">
                  <c:v>-12723.132780082989</c:v>
                </c:pt>
                <c:pt idx="103">
                  <c:v>-12408.116883116883</c:v>
                </c:pt>
                <c:pt idx="104">
                  <c:v>-12064.592760180996</c:v>
                </c:pt>
                <c:pt idx="105">
                  <c:v>-11688.507109004742</c:v>
                </c:pt>
                <c:pt idx="106">
                  <c:v>-11275.000000000002</c:v>
                </c:pt>
                <c:pt idx="107">
                  <c:v>-10818.193717277489</c:v>
                </c:pt>
                <c:pt idx="108">
                  <c:v>-10310.911602209946</c:v>
                </c:pt>
                <c:pt idx="109">
                  <c:v>-9744.2982456140435</c:v>
                </c:pt>
                <c:pt idx="110">
                  <c:v>-9744.2982456140362</c:v>
                </c:pt>
                <c:pt idx="111">
                  <c:v>-8744.7624190064835</c:v>
                </c:pt>
                <c:pt idx="112">
                  <c:v>-7745.3389830508495</c:v>
                </c:pt>
                <c:pt idx="113">
                  <c:v>-6746.0743801652898</c:v>
                </c:pt>
                <c:pt idx="114">
                  <c:v>-5747.0447284345046</c:v>
                </c:pt>
                <c:pt idx="115">
                  <c:v>-4748.3840304182513</c:v>
                </c:pt>
                <c:pt idx="116">
                  <c:v>-3750.3521126760565</c:v>
                </c:pt>
                <c:pt idx="117">
                  <c:v>-2753.527607361963</c:v>
                </c:pt>
                <c:pt idx="118">
                  <c:v>-1759.5132743362828</c:v>
                </c:pt>
                <c:pt idx="119">
                  <c:v>-775.00000000000011</c:v>
                </c:pt>
                <c:pt idx="120">
                  <c:v>90.384615384615401</c:v>
                </c:pt>
                <c:pt idx="121">
                  <c:v>90.384615384615401</c:v>
                </c:pt>
                <c:pt idx="122">
                  <c:v>92.058823529411782</c:v>
                </c:pt>
                <c:pt idx="123">
                  <c:v>93.600000000000009</c:v>
                </c:pt>
                <c:pt idx="124">
                  <c:v>95</c:v>
                </c:pt>
                <c:pt idx="125">
                  <c:v>96.25</c:v>
                </c:pt>
                <c:pt idx="126">
                  <c:v>97.340425531914903</c:v>
                </c:pt>
                <c:pt idx="127">
                  <c:v>98.260869565217405</c:v>
                </c:pt>
                <c:pt idx="128">
                  <c:v>99</c:v>
                </c:pt>
                <c:pt idx="129">
                  <c:v>99.545454545454561</c:v>
                </c:pt>
                <c:pt idx="130">
                  <c:v>99.88372093023257</c:v>
                </c:pt>
                <c:pt idx="131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excentricidad!$A$145</c:f>
              <c:strCache>
                <c:ptCount val="1"/>
                <c:pt idx="0">
                  <c:v>0.037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excentricidad!$B$145:$B$146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3.3530571992110474</c:v>
                </c:pt>
              </c:numCache>
            </c:numRef>
          </c:xVal>
          <c:yVal>
            <c:numRef>
              <c:f>excentricidad!$C$145:$C$146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90.384615384615387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excentricidad!$A$147</c:f>
              <c:strCache>
                <c:ptCount val="1"/>
                <c:pt idx="0">
                  <c:v>-0.140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excentricidad!$B$147:$B$148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1366.3041619643654</c:v>
                </c:pt>
              </c:numCache>
            </c:numRef>
          </c:xVal>
          <c:yVal>
            <c:numRef>
              <c:f>excentricidad!$C$147:$C$148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-9744.2982456140362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excentricidad!$A$149</c:f>
              <c:strCache>
                <c:ptCount val="1"/>
                <c:pt idx="0">
                  <c:v>-0.111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excentricidad!$B$149:$B$150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1499.1775711115051</c:v>
                </c:pt>
              </c:numCache>
            </c:numRef>
          </c:xVal>
          <c:yVal>
            <c:numRef>
              <c:f>excentricidad!$C$149:$C$150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-13528.690036900369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excentricidad!$A$151</c:f>
              <c:strCache>
                <c:ptCount val="1"/>
                <c:pt idx="0">
                  <c:v>-0.107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excentricidad!$B$151:$B$152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1466.4040527556992</c:v>
                </c:pt>
              </c:numCache>
            </c:numRef>
          </c:xVal>
          <c:yVal>
            <c:numRef>
              <c:f>excentricidad!$C$151:$C$152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-13707.009345794395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excentricidad!$A$153</c:f>
              <c:strCache>
                <c:ptCount val="1"/>
                <c:pt idx="0">
                  <c:v>-0.106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excentricidad!$B$153:$B$154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1458.3333333333333</c:v>
                </c:pt>
              </c:numCache>
            </c:numRef>
          </c:xVal>
          <c:yVal>
            <c:numRef>
              <c:f>excentricidad!$C$153:$C$154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-13750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excentricidad!$A$155</c:f>
              <c:strCache>
                <c:ptCount val="1"/>
                <c:pt idx="0">
                  <c:v>0.000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excentricidad!$B$155:$B$156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xVal>
          <c:yVal>
            <c:numRef>
              <c:f>excentricidad!$C$155:$C$156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-20000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excentricidad!$A$157</c:f>
              <c:strCache>
                <c:ptCount val="1"/>
                <c:pt idx="0">
                  <c:v>0.106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excentricidad!$B$157:$B$158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-1458.3333333333333</c:v>
                </c:pt>
              </c:numCache>
            </c:numRef>
          </c:xVal>
          <c:yVal>
            <c:numRef>
              <c:f>excentricidad!$C$157:$C$158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-13750</c:v>
                </c:pt>
              </c:numCache>
            </c:numRef>
          </c:yVal>
          <c:smooth val="1"/>
        </c:ser>
        <c:ser>
          <c:idx val="8"/>
          <c:order val="8"/>
          <c:tx>
            <c:strRef>
              <c:f>excentricidad!$A$159</c:f>
              <c:strCache>
                <c:ptCount val="1"/>
                <c:pt idx="0">
                  <c:v>0.107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excentricidad!$B$159:$B$160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-1466.4040527556995</c:v>
                </c:pt>
              </c:numCache>
            </c:numRef>
          </c:xVal>
          <c:yVal>
            <c:numRef>
              <c:f>excentricidad!$C$159:$C$160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-13707.009345794391</c:v>
                </c:pt>
              </c:numCache>
            </c:numRef>
          </c:yVal>
          <c:smooth val="1"/>
        </c:ser>
        <c:ser>
          <c:idx val="9"/>
          <c:order val="9"/>
          <c:tx>
            <c:strRef>
              <c:f>excentricidad!$A$161</c:f>
              <c:strCache>
                <c:ptCount val="1"/>
                <c:pt idx="0">
                  <c:v>0.111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excentricidad!$B$161:$B$162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-1499.1775711115042</c:v>
                </c:pt>
              </c:numCache>
            </c:numRef>
          </c:xVal>
          <c:yVal>
            <c:numRef>
              <c:f>excentricidad!$C$161:$C$162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-13528.690036900371</c:v>
                </c:pt>
              </c:numCache>
            </c:numRef>
          </c:yVal>
          <c:smooth val="1"/>
        </c:ser>
        <c:ser>
          <c:idx val="10"/>
          <c:order val="10"/>
          <c:tx>
            <c:strRef>
              <c:f>excentricidad!$A$163</c:f>
              <c:strCache>
                <c:ptCount val="1"/>
                <c:pt idx="0">
                  <c:v>0.140</c:v>
                </c:pt>
              </c:strCache>
            </c:strRef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excentricidad!$B$163:$B$164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-1366.3041619643657</c:v>
                </c:pt>
              </c:numCache>
            </c:numRef>
          </c:xVal>
          <c:yVal>
            <c:numRef>
              <c:f>excentricidad!$C$163:$C$164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-9744.2982456140435</c:v>
                </c:pt>
              </c:numCache>
            </c:numRef>
          </c:yVal>
          <c:smooth val="1"/>
        </c:ser>
        <c:ser>
          <c:idx val="11"/>
          <c:order val="11"/>
          <c:tx>
            <c:strRef>
              <c:f>excentricidad!$A$165</c:f>
              <c:strCache>
                <c:ptCount val="1"/>
                <c:pt idx="0">
                  <c:v>-0.037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excentricidad!$B$165:$B$166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-3.3530571992110461</c:v>
                </c:pt>
              </c:numCache>
            </c:numRef>
          </c:xVal>
          <c:yVal>
            <c:numRef>
              <c:f>excentricidad!$C$165:$C$166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90.384615384615401</c:v>
                </c:pt>
              </c:numCache>
            </c:numRef>
          </c:yVal>
          <c:smooth val="1"/>
        </c:ser>
        <c:ser>
          <c:idx val="12"/>
          <c:order val="12"/>
          <c:tx>
            <c:strRef>
              <c:f>excentricidad!$A$167</c:f>
              <c:strCache>
                <c:ptCount val="1"/>
                <c:pt idx="0">
                  <c:v>0.000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excentricidad!$B$167:$B$168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-3.6684379893090212E-31</c:v>
                </c:pt>
              </c:numCache>
            </c:numRef>
          </c:xVal>
          <c:yVal>
            <c:numRef>
              <c:f>excentricidad!$C$167:$C$168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100</c:v>
                </c:pt>
              </c:numCache>
            </c:numRef>
          </c:yVal>
          <c:smooth val="1"/>
        </c:ser>
        <c:ser>
          <c:idx val="13"/>
          <c:order val="13"/>
          <c:tx>
            <c:v>p = 1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'penetración= 1'!$B$5:$B$25</c:f>
              <c:numCache>
                <c:formatCode>0.00</c:formatCode>
                <c:ptCount val="21"/>
                <c:pt idx="0">
                  <c:v>0</c:v>
                </c:pt>
                <c:pt idx="1">
                  <c:v>723.60000000000014</c:v>
                </c:pt>
                <c:pt idx="2">
                  <c:v>1286.4000000000005</c:v>
                </c:pt>
                <c:pt idx="3">
                  <c:v>1688.4000000000008</c:v>
                </c:pt>
                <c:pt idx="4">
                  <c:v>1929.6000000000004</c:v>
                </c:pt>
                <c:pt idx="5">
                  <c:v>2010.0000000000005</c:v>
                </c:pt>
                <c:pt idx="6">
                  <c:v>1929.6000000000004</c:v>
                </c:pt>
                <c:pt idx="7">
                  <c:v>1688.4000000000005</c:v>
                </c:pt>
                <c:pt idx="8">
                  <c:v>1286.4000000000005</c:v>
                </c:pt>
                <c:pt idx="9">
                  <c:v>723.60000000000082</c:v>
                </c:pt>
                <c:pt idx="10">
                  <c:v>8.9261931179862576E-13</c:v>
                </c:pt>
                <c:pt idx="11">
                  <c:v>-723.60000000000082</c:v>
                </c:pt>
                <c:pt idx="12">
                  <c:v>-1286.4000000000005</c:v>
                </c:pt>
                <c:pt idx="13">
                  <c:v>-1688.4000000000005</c:v>
                </c:pt>
                <c:pt idx="14">
                  <c:v>-1929.6000000000004</c:v>
                </c:pt>
                <c:pt idx="15">
                  <c:v>-2010.0000000000005</c:v>
                </c:pt>
                <c:pt idx="16">
                  <c:v>-1929.6000000000004</c:v>
                </c:pt>
                <c:pt idx="17">
                  <c:v>-1688.4000000000008</c:v>
                </c:pt>
                <c:pt idx="18">
                  <c:v>-1286.4000000000005</c:v>
                </c:pt>
                <c:pt idx="19">
                  <c:v>-723.60000000000014</c:v>
                </c:pt>
                <c:pt idx="20">
                  <c:v>0</c:v>
                </c:pt>
              </c:numCache>
            </c:numRef>
          </c:xVal>
          <c:yVal>
            <c:numRef>
              <c:f>'penetración= 1'!$C$5:$C$25</c:f>
              <c:numCache>
                <c:formatCode>0.00</c:formatCode>
                <c:ptCount val="21"/>
                <c:pt idx="0">
                  <c:v>100</c:v>
                </c:pt>
                <c:pt idx="1">
                  <c:v>-1910</c:v>
                </c:pt>
                <c:pt idx="2">
                  <c:v>-3920</c:v>
                </c:pt>
                <c:pt idx="3">
                  <c:v>-5930.0000000000009</c:v>
                </c:pt>
                <c:pt idx="4">
                  <c:v>-7940</c:v>
                </c:pt>
                <c:pt idx="5">
                  <c:v>-9950</c:v>
                </c:pt>
                <c:pt idx="6">
                  <c:v>-11960.000000000002</c:v>
                </c:pt>
                <c:pt idx="7">
                  <c:v>-13970</c:v>
                </c:pt>
                <c:pt idx="8">
                  <c:v>-15980</c:v>
                </c:pt>
                <c:pt idx="9">
                  <c:v>-17989.999999999996</c:v>
                </c:pt>
                <c:pt idx="10">
                  <c:v>-20000</c:v>
                </c:pt>
                <c:pt idx="11">
                  <c:v>-17989.999999999996</c:v>
                </c:pt>
                <c:pt idx="12">
                  <c:v>-15980</c:v>
                </c:pt>
                <c:pt idx="13">
                  <c:v>-13970</c:v>
                </c:pt>
                <c:pt idx="14">
                  <c:v>-11960.000000000002</c:v>
                </c:pt>
                <c:pt idx="15">
                  <c:v>-9950</c:v>
                </c:pt>
                <c:pt idx="16">
                  <c:v>-7940</c:v>
                </c:pt>
                <c:pt idx="17">
                  <c:v>-5930.0000000000009</c:v>
                </c:pt>
                <c:pt idx="18">
                  <c:v>-3920.0000000000009</c:v>
                </c:pt>
                <c:pt idx="19">
                  <c:v>-1910.0000000000009</c:v>
                </c:pt>
                <c:pt idx="20">
                  <c:v>100</c:v>
                </c:pt>
              </c:numCache>
            </c:numRef>
          </c:yVal>
          <c:smooth val="1"/>
        </c:ser>
        <c:axId val="213153280"/>
        <c:axId val="213159936"/>
      </c:scatterChart>
      <c:valAx>
        <c:axId val="21315328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 (Kn.m)</a:t>
                </a:r>
              </a:p>
            </c:rich>
          </c:tx>
          <c:layout>
            <c:manualLayout>
              <c:xMode val="edge"/>
              <c:yMode val="edge"/>
              <c:x val="0.41260744985673353"/>
              <c:y val="0.62426284751474304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3159936"/>
        <c:crosses val="autoZero"/>
        <c:crossBetween val="midCat"/>
      </c:valAx>
      <c:valAx>
        <c:axId val="2131599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 (Kn )</a:t>
                </a:r>
              </a:p>
            </c:rich>
          </c:tx>
          <c:layout>
            <c:manualLayout>
              <c:xMode val="edge"/>
              <c:yMode val="edge"/>
              <c:x val="8.0229226361031511E-3"/>
              <c:y val="0.2122999157540016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315328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262" orientation="landscape" horizontalDpi="120" verticalDpi="72" copies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609600</xdr:colOff>
      <xdr:row>24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4600575" y="522922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0</xdr:colOff>
      <xdr:row>20</xdr:row>
      <xdr:rowOff>123825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 flipV="1">
          <a:off x="2200275" y="43815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57150</xdr:rowOff>
    </xdr:from>
    <xdr:to>
      <xdr:col>11</xdr:col>
      <xdr:colOff>1314450</xdr:colOff>
      <xdr:row>69</xdr:row>
      <xdr:rowOff>38100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10</xdr:col>
      <xdr:colOff>0</xdr:colOff>
      <xdr:row>5</xdr:row>
      <xdr:rowOff>123825</xdr:rowOff>
    </xdr:to>
    <xdr:sp macro="" textlink="">
      <xdr:nvSpPr>
        <xdr:cNvPr id="3080" name="Line 8"/>
        <xdr:cNvSpPr>
          <a:spLocks noChangeShapeType="1"/>
        </xdr:cNvSpPr>
      </xdr:nvSpPr>
      <xdr:spPr bwMode="auto">
        <a:xfrm flipV="1">
          <a:off x="7153275" y="97155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12</xdr:col>
      <xdr:colOff>0</xdr:colOff>
      <xdr:row>12</xdr:row>
      <xdr:rowOff>0</xdr:rowOff>
    </xdr:to>
    <xdr:sp macro="" textlink="">
      <xdr:nvSpPr>
        <xdr:cNvPr id="3083" name="Line 11"/>
        <xdr:cNvSpPr>
          <a:spLocks noChangeShapeType="1"/>
        </xdr:cNvSpPr>
      </xdr:nvSpPr>
      <xdr:spPr bwMode="auto">
        <a:xfrm flipH="1" flipV="1">
          <a:off x="7734300" y="1143000"/>
          <a:ext cx="581025" cy="102870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12</xdr:col>
      <xdr:colOff>0</xdr:colOff>
      <xdr:row>12</xdr:row>
      <xdr:rowOff>9525</xdr:rowOff>
    </xdr:to>
    <xdr:sp macro="" textlink="">
      <xdr:nvSpPr>
        <xdr:cNvPr id="3084" name="Line 12"/>
        <xdr:cNvSpPr>
          <a:spLocks noChangeShapeType="1"/>
        </xdr:cNvSpPr>
      </xdr:nvSpPr>
      <xdr:spPr bwMode="auto">
        <a:xfrm flipH="1" flipV="1">
          <a:off x="7153275" y="1143000"/>
          <a:ext cx="1162050" cy="1038225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10</xdr:col>
      <xdr:colOff>304800</xdr:colOff>
      <xdr:row>5</xdr:row>
      <xdr:rowOff>161925</xdr:rowOff>
    </xdr:from>
    <xdr:to>
      <xdr:col>12</xdr:col>
      <xdr:colOff>0</xdr:colOff>
      <xdr:row>12</xdr:row>
      <xdr:rowOff>0</xdr:rowOff>
    </xdr:to>
    <xdr:sp macro="" textlink="">
      <xdr:nvSpPr>
        <xdr:cNvPr id="3085" name="Line 13"/>
        <xdr:cNvSpPr>
          <a:spLocks noChangeShapeType="1"/>
        </xdr:cNvSpPr>
      </xdr:nvSpPr>
      <xdr:spPr bwMode="auto">
        <a:xfrm flipH="1" flipV="1">
          <a:off x="7458075" y="1133475"/>
          <a:ext cx="857250" cy="1038225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12</xdr:col>
      <xdr:colOff>352425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3095" name="Line 23"/>
        <xdr:cNvSpPr>
          <a:spLocks noChangeShapeType="1"/>
        </xdr:cNvSpPr>
      </xdr:nvSpPr>
      <xdr:spPr bwMode="auto">
        <a:xfrm>
          <a:off x="8667750" y="165735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16</xdr:row>
      <xdr:rowOff>0</xdr:rowOff>
    </xdr:from>
    <xdr:to>
      <xdr:col>10</xdr:col>
      <xdr:colOff>0</xdr:colOff>
      <xdr:row>16</xdr:row>
      <xdr:rowOff>123825</xdr:rowOff>
    </xdr:to>
    <xdr:sp macro="" textlink="">
      <xdr:nvSpPr>
        <xdr:cNvPr id="3096" name="Line 24"/>
        <xdr:cNvSpPr>
          <a:spLocks noChangeShapeType="1"/>
        </xdr:cNvSpPr>
      </xdr:nvSpPr>
      <xdr:spPr bwMode="auto">
        <a:xfrm flipV="1">
          <a:off x="7153275" y="284797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12</xdr:col>
      <xdr:colOff>0</xdr:colOff>
      <xdr:row>23</xdr:row>
      <xdr:rowOff>0</xdr:rowOff>
    </xdr:to>
    <xdr:sp macro="" textlink="">
      <xdr:nvSpPr>
        <xdr:cNvPr id="3097" name="Line 25"/>
        <xdr:cNvSpPr>
          <a:spLocks noChangeShapeType="1"/>
        </xdr:cNvSpPr>
      </xdr:nvSpPr>
      <xdr:spPr bwMode="auto">
        <a:xfrm flipH="1" flipV="1">
          <a:off x="6572250" y="3086100"/>
          <a:ext cx="1743075" cy="1152525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12</xdr:col>
      <xdr:colOff>0</xdr:colOff>
      <xdr:row>23</xdr:row>
      <xdr:rowOff>9525</xdr:rowOff>
    </xdr:to>
    <xdr:sp macro="" textlink="">
      <xdr:nvSpPr>
        <xdr:cNvPr id="3098" name="Line 26"/>
        <xdr:cNvSpPr>
          <a:spLocks noChangeShapeType="1"/>
        </xdr:cNvSpPr>
      </xdr:nvSpPr>
      <xdr:spPr bwMode="auto">
        <a:xfrm flipH="1" flipV="1">
          <a:off x="7153275" y="3086100"/>
          <a:ext cx="1162050" cy="116205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9</xdr:col>
      <xdr:colOff>295275</xdr:colOff>
      <xdr:row>17</xdr:row>
      <xdr:rowOff>0</xdr:rowOff>
    </xdr:from>
    <xdr:to>
      <xdr:col>12</xdr:col>
      <xdr:colOff>9525</xdr:colOff>
      <xdr:row>23</xdr:row>
      <xdr:rowOff>9525</xdr:rowOff>
    </xdr:to>
    <xdr:sp macro="" textlink="">
      <xdr:nvSpPr>
        <xdr:cNvPr id="3099" name="Line 27"/>
        <xdr:cNvSpPr>
          <a:spLocks noChangeShapeType="1"/>
        </xdr:cNvSpPr>
      </xdr:nvSpPr>
      <xdr:spPr bwMode="auto">
        <a:xfrm flipH="1" flipV="1">
          <a:off x="6867525" y="3086100"/>
          <a:ext cx="1457325" cy="116205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12</xdr:col>
      <xdr:colOff>352425</xdr:colOff>
      <xdr:row>20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3100" name="Line 28"/>
        <xdr:cNvSpPr>
          <a:spLocks noChangeShapeType="1"/>
        </xdr:cNvSpPr>
      </xdr:nvSpPr>
      <xdr:spPr bwMode="auto">
        <a:xfrm>
          <a:off x="8667750" y="369570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0</xdr:colOff>
      <xdr:row>27</xdr:row>
      <xdr:rowOff>123825</xdr:rowOff>
    </xdr:to>
    <xdr:sp macro="" textlink="">
      <xdr:nvSpPr>
        <xdr:cNvPr id="3101" name="Line 29"/>
        <xdr:cNvSpPr>
          <a:spLocks noChangeShapeType="1"/>
        </xdr:cNvSpPr>
      </xdr:nvSpPr>
      <xdr:spPr bwMode="auto">
        <a:xfrm flipV="1">
          <a:off x="7153275" y="494347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571500</xdr:colOff>
      <xdr:row>28</xdr:row>
      <xdr:rowOff>0</xdr:rowOff>
    </xdr:from>
    <xdr:to>
      <xdr:col>12</xdr:col>
      <xdr:colOff>0</xdr:colOff>
      <xdr:row>33</xdr:row>
      <xdr:rowOff>209550</xdr:rowOff>
    </xdr:to>
    <xdr:sp macro="" textlink="">
      <xdr:nvSpPr>
        <xdr:cNvPr id="3102" name="Line 30"/>
        <xdr:cNvSpPr>
          <a:spLocks noChangeShapeType="1"/>
        </xdr:cNvSpPr>
      </xdr:nvSpPr>
      <xdr:spPr bwMode="auto">
        <a:xfrm flipH="1" flipV="1">
          <a:off x="5981700" y="5181600"/>
          <a:ext cx="2333625" cy="114300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27</xdr:row>
      <xdr:rowOff>228600</xdr:rowOff>
    </xdr:from>
    <xdr:to>
      <xdr:col>12</xdr:col>
      <xdr:colOff>9525</xdr:colOff>
      <xdr:row>34</xdr:row>
      <xdr:rowOff>0</xdr:rowOff>
    </xdr:to>
    <xdr:sp macro="" textlink="">
      <xdr:nvSpPr>
        <xdr:cNvPr id="3103" name="Line 31"/>
        <xdr:cNvSpPr>
          <a:spLocks noChangeShapeType="1"/>
        </xdr:cNvSpPr>
      </xdr:nvSpPr>
      <xdr:spPr bwMode="auto">
        <a:xfrm flipH="1" flipV="1">
          <a:off x="6572250" y="5172075"/>
          <a:ext cx="1752600" cy="116205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8</xdr:col>
      <xdr:colOff>266700</xdr:colOff>
      <xdr:row>28</xdr:row>
      <xdr:rowOff>0</xdr:rowOff>
    </xdr:from>
    <xdr:to>
      <xdr:col>12</xdr:col>
      <xdr:colOff>9525</xdr:colOff>
      <xdr:row>34</xdr:row>
      <xdr:rowOff>0</xdr:rowOff>
    </xdr:to>
    <xdr:sp macro="" textlink="">
      <xdr:nvSpPr>
        <xdr:cNvPr id="3104" name="Line 32"/>
        <xdr:cNvSpPr>
          <a:spLocks noChangeShapeType="1"/>
        </xdr:cNvSpPr>
      </xdr:nvSpPr>
      <xdr:spPr bwMode="auto">
        <a:xfrm flipH="1" flipV="1">
          <a:off x="6257925" y="5181600"/>
          <a:ext cx="2066925" cy="1152525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12</xdr:col>
      <xdr:colOff>352425</xdr:colOff>
      <xdr:row>31</xdr:row>
      <xdr:rowOff>0</xdr:rowOff>
    </xdr:from>
    <xdr:to>
      <xdr:col>13</xdr:col>
      <xdr:colOff>0</xdr:colOff>
      <xdr:row>31</xdr:row>
      <xdr:rowOff>0</xdr:rowOff>
    </xdr:to>
    <xdr:sp macro="" textlink="">
      <xdr:nvSpPr>
        <xdr:cNvPr id="3105" name="Line 33"/>
        <xdr:cNvSpPr>
          <a:spLocks noChangeShapeType="1"/>
        </xdr:cNvSpPr>
      </xdr:nvSpPr>
      <xdr:spPr bwMode="auto">
        <a:xfrm>
          <a:off x="8667750" y="579120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60</xdr:row>
      <xdr:rowOff>0</xdr:rowOff>
    </xdr:from>
    <xdr:to>
      <xdr:col>10</xdr:col>
      <xdr:colOff>0</xdr:colOff>
      <xdr:row>60</xdr:row>
      <xdr:rowOff>123825</xdr:rowOff>
    </xdr:to>
    <xdr:sp macro="" textlink="">
      <xdr:nvSpPr>
        <xdr:cNvPr id="3106" name="Line 34"/>
        <xdr:cNvSpPr>
          <a:spLocks noChangeShapeType="1"/>
        </xdr:cNvSpPr>
      </xdr:nvSpPr>
      <xdr:spPr bwMode="auto">
        <a:xfrm flipV="1">
          <a:off x="7153275" y="1122997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0</xdr:colOff>
      <xdr:row>61</xdr:row>
      <xdr:rowOff>0</xdr:rowOff>
    </xdr:from>
    <xdr:to>
      <xdr:col>9</xdr:col>
      <xdr:colOff>0</xdr:colOff>
      <xdr:row>67</xdr:row>
      <xdr:rowOff>0</xdr:rowOff>
    </xdr:to>
    <xdr:sp macro="" textlink="">
      <xdr:nvSpPr>
        <xdr:cNvPr id="3107" name="Line 35"/>
        <xdr:cNvSpPr>
          <a:spLocks noChangeShapeType="1"/>
        </xdr:cNvSpPr>
      </xdr:nvSpPr>
      <xdr:spPr bwMode="auto">
        <a:xfrm flipH="1" flipV="1">
          <a:off x="5991225" y="11468100"/>
          <a:ext cx="581025" cy="1152525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60</xdr:row>
      <xdr:rowOff>228600</xdr:rowOff>
    </xdr:from>
    <xdr:to>
      <xdr:col>10</xdr:col>
      <xdr:colOff>0</xdr:colOff>
      <xdr:row>67</xdr:row>
      <xdr:rowOff>0</xdr:rowOff>
    </xdr:to>
    <xdr:sp macro="" textlink="">
      <xdr:nvSpPr>
        <xdr:cNvPr id="3108" name="Line 36"/>
        <xdr:cNvSpPr>
          <a:spLocks noChangeShapeType="1"/>
        </xdr:cNvSpPr>
      </xdr:nvSpPr>
      <xdr:spPr bwMode="auto">
        <a:xfrm flipH="1" flipV="1">
          <a:off x="5991225" y="11458575"/>
          <a:ext cx="1162050" cy="116205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61</xdr:row>
      <xdr:rowOff>0</xdr:rowOff>
    </xdr:from>
    <xdr:to>
      <xdr:col>9</xdr:col>
      <xdr:colOff>304800</xdr:colOff>
      <xdr:row>67</xdr:row>
      <xdr:rowOff>0</xdr:rowOff>
    </xdr:to>
    <xdr:sp macro="" textlink="">
      <xdr:nvSpPr>
        <xdr:cNvPr id="3109" name="Line 37"/>
        <xdr:cNvSpPr>
          <a:spLocks noChangeShapeType="1"/>
        </xdr:cNvSpPr>
      </xdr:nvSpPr>
      <xdr:spPr bwMode="auto">
        <a:xfrm flipH="1" flipV="1">
          <a:off x="5991225" y="11468100"/>
          <a:ext cx="885825" cy="1152525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12</xdr:col>
      <xdr:colOff>352425</xdr:colOff>
      <xdr:row>64</xdr:row>
      <xdr:rowOff>0</xdr:rowOff>
    </xdr:from>
    <xdr:to>
      <xdr:col>13</xdr:col>
      <xdr:colOff>0</xdr:colOff>
      <xdr:row>64</xdr:row>
      <xdr:rowOff>0</xdr:rowOff>
    </xdr:to>
    <xdr:sp macro="" textlink="">
      <xdr:nvSpPr>
        <xdr:cNvPr id="3110" name="Line 38"/>
        <xdr:cNvSpPr>
          <a:spLocks noChangeShapeType="1"/>
        </xdr:cNvSpPr>
      </xdr:nvSpPr>
      <xdr:spPr bwMode="auto">
        <a:xfrm>
          <a:off x="8667750" y="1207770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49</xdr:row>
      <xdr:rowOff>0</xdr:rowOff>
    </xdr:from>
    <xdr:to>
      <xdr:col>10</xdr:col>
      <xdr:colOff>0</xdr:colOff>
      <xdr:row>49</xdr:row>
      <xdr:rowOff>123825</xdr:rowOff>
    </xdr:to>
    <xdr:sp macro="" textlink="">
      <xdr:nvSpPr>
        <xdr:cNvPr id="3111" name="Line 39"/>
        <xdr:cNvSpPr>
          <a:spLocks noChangeShapeType="1"/>
        </xdr:cNvSpPr>
      </xdr:nvSpPr>
      <xdr:spPr bwMode="auto">
        <a:xfrm flipV="1">
          <a:off x="7153275" y="913447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0</xdr:colOff>
      <xdr:row>50</xdr:row>
      <xdr:rowOff>0</xdr:rowOff>
    </xdr:from>
    <xdr:to>
      <xdr:col>11</xdr:col>
      <xdr:colOff>9525</xdr:colOff>
      <xdr:row>56</xdr:row>
      <xdr:rowOff>0</xdr:rowOff>
    </xdr:to>
    <xdr:sp macro="" textlink="">
      <xdr:nvSpPr>
        <xdr:cNvPr id="3112" name="Line 40"/>
        <xdr:cNvSpPr>
          <a:spLocks noChangeShapeType="1"/>
        </xdr:cNvSpPr>
      </xdr:nvSpPr>
      <xdr:spPr bwMode="auto">
        <a:xfrm flipH="1" flipV="1">
          <a:off x="5991225" y="9372600"/>
          <a:ext cx="1752600" cy="1152525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8</xdr:col>
      <xdr:colOff>9525</xdr:colOff>
      <xdr:row>49</xdr:row>
      <xdr:rowOff>228600</xdr:rowOff>
    </xdr:from>
    <xdr:to>
      <xdr:col>10</xdr:col>
      <xdr:colOff>9525</xdr:colOff>
      <xdr:row>56</xdr:row>
      <xdr:rowOff>0</xdr:rowOff>
    </xdr:to>
    <xdr:sp macro="" textlink="">
      <xdr:nvSpPr>
        <xdr:cNvPr id="3113" name="Line 41"/>
        <xdr:cNvSpPr>
          <a:spLocks noChangeShapeType="1"/>
        </xdr:cNvSpPr>
      </xdr:nvSpPr>
      <xdr:spPr bwMode="auto">
        <a:xfrm flipH="1" flipV="1">
          <a:off x="6000750" y="9363075"/>
          <a:ext cx="1162050" cy="116205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50</xdr:row>
      <xdr:rowOff>0</xdr:rowOff>
    </xdr:from>
    <xdr:to>
      <xdr:col>10</xdr:col>
      <xdr:colOff>295275</xdr:colOff>
      <xdr:row>56</xdr:row>
      <xdr:rowOff>9525</xdr:rowOff>
    </xdr:to>
    <xdr:sp macro="" textlink="">
      <xdr:nvSpPr>
        <xdr:cNvPr id="3114" name="Line 42"/>
        <xdr:cNvSpPr>
          <a:spLocks noChangeShapeType="1"/>
        </xdr:cNvSpPr>
      </xdr:nvSpPr>
      <xdr:spPr bwMode="auto">
        <a:xfrm flipH="1" flipV="1">
          <a:off x="5991225" y="9372600"/>
          <a:ext cx="1457325" cy="116205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12</xdr:col>
      <xdr:colOff>352425</xdr:colOff>
      <xdr:row>53</xdr:row>
      <xdr:rowOff>0</xdr:rowOff>
    </xdr:from>
    <xdr:to>
      <xdr:col>13</xdr:col>
      <xdr:colOff>0</xdr:colOff>
      <xdr:row>53</xdr:row>
      <xdr:rowOff>0</xdr:rowOff>
    </xdr:to>
    <xdr:sp macro="" textlink="">
      <xdr:nvSpPr>
        <xdr:cNvPr id="3115" name="Line 43"/>
        <xdr:cNvSpPr>
          <a:spLocks noChangeShapeType="1"/>
        </xdr:cNvSpPr>
      </xdr:nvSpPr>
      <xdr:spPr bwMode="auto">
        <a:xfrm>
          <a:off x="8667750" y="998220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38</xdr:row>
      <xdr:rowOff>0</xdr:rowOff>
    </xdr:from>
    <xdr:to>
      <xdr:col>10</xdr:col>
      <xdr:colOff>0</xdr:colOff>
      <xdr:row>38</xdr:row>
      <xdr:rowOff>123825</xdr:rowOff>
    </xdr:to>
    <xdr:sp macro="" textlink="">
      <xdr:nvSpPr>
        <xdr:cNvPr id="3116" name="Line 44"/>
        <xdr:cNvSpPr>
          <a:spLocks noChangeShapeType="1"/>
        </xdr:cNvSpPr>
      </xdr:nvSpPr>
      <xdr:spPr bwMode="auto">
        <a:xfrm flipV="1">
          <a:off x="7153275" y="703897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9525</xdr:colOff>
      <xdr:row>39</xdr:row>
      <xdr:rowOff>0</xdr:rowOff>
    </xdr:from>
    <xdr:to>
      <xdr:col>12</xdr:col>
      <xdr:colOff>9525</xdr:colOff>
      <xdr:row>45</xdr:row>
      <xdr:rowOff>0</xdr:rowOff>
    </xdr:to>
    <xdr:sp macro="" textlink="">
      <xdr:nvSpPr>
        <xdr:cNvPr id="3117" name="Line 45"/>
        <xdr:cNvSpPr>
          <a:spLocks noChangeShapeType="1"/>
        </xdr:cNvSpPr>
      </xdr:nvSpPr>
      <xdr:spPr bwMode="auto">
        <a:xfrm flipH="1" flipV="1">
          <a:off x="6000750" y="7277100"/>
          <a:ext cx="2324100" cy="1152525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39</xdr:row>
      <xdr:rowOff>0</xdr:rowOff>
    </xdr:from>
    <xdr:to>
      <xdr:col>11</xdr:col>
      <xdr:colOff>0</xdr:colOff>
      <xdr:row>44</xdr:row>
      <xdr:rowOff>209550</xdr:rowOff>
    </xdr:to>
    <xdr:sp macro="" textlink="">
      <xdr:nvSpPr>
        <xdr:cNvPr id="3118" name="Line 46"/>
        <xdr:cNvSpPr>
          <a:spLocks noChangeShapeType="1"/>
        </xdr:cNvSpPr>
      </xdr:nvSpPr>
      <xdr:spPr bwMode="auto">
        <a:xfrm flipH="1" flipV="1">
          <a:off x="5991225" y="7277100"/>
          <a:ext cx="1743075" cy="114300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39</xdr:row>
      <xdr:rowOff>0</xdr:rowOff>
    </xdr:from>
    <xdr:to>
      <xdr:col>11</xdr:col>
      <xdr:colOff>304800</xdr:colOff>
      <xdr:row>44</xdr:row>
      <xdr:rowOff>209550</xdr:rowOff>
    </xdr:to>
    <xdr:sp macro="" textlink="">
      <xdr:nvSpPr>
        <xdr:cNvPr id="3119" name="Line 47"/>
        <xdr:cNvSpPr>
          <a:spLocks noChangeShapeType="1"/>
        </xdr:cNvSpPr>
      </xdr:nvSpPr>
      <xdr:spPr bwMode="auto">
        <a:xfrm flipH="1" flipV="1">
          <a:off x="5991225" y="7277100"/>
          <a:ext cx="2047875" cy="114300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12</xdr:col>
      <xdr:colOff>352425</xdr:colOff>
      <xdr:row>42</xdr:row>
      <xdr:rowOff>0</xdr:rowOff>
    </xdr:from>
    <xdr:to>
      <xdr:col>13</xdr:col>
      <xdr:colOff>0</xdr:colOff>
      <xdr:row>42</xdr:row>
      <xdr:rowOff>0</xdr:rowOff>
    </xdr:to>
    <xdr:sp macro="" textlink="">
      <xdr:nvSpPr>
        <xdr:cNvPr id="3120" name="Line 48"/>
        <xdr:cNvSpPr>
          <a:spLocks noChangeShapeType="1"/>
        </xdr:cNvSpPr>
      </xdr:nvSpPr>
      <xdr:spPr bwMode="auto">
        <a:xfrm>
          <a:off x="8667750" y="788670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76</xdr:row>
      <xdr:rowOff>0</xdr:rowOff>
    </xdr:from>
    <xdr:to>
      <xdr:col>10</xdr:col>
      <xdr:colOff>0</xdr:colOff>
      <xdr:row>76</xdr:row>
      <xdr:rowOff>123825</xdr:rowOff>
    </xdr:to>
    <xdr:sp macro="" textlink="">
      <xdr:nvSpPr>
        <xdr:cNvPr id="3121" name="Line 49"/>
        <xdr:cNvSpPr>
          <a:spLocks noChangeShapeType="1"/>
        </xdr:cNvSpPr>
      </xdr:nvSpPr>
      <xdr:spPr bwMode="auto">
        <a:xfrm flipV="1">
          <a:off x="7153275" y="1430655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571500</xdr:colOff>
      <xdr:row>77</xdr:row>
      <xdr:rowOff>0</xdr:rowOff>
    </xdr:from>
    <xdr:to>
      <xdr:col>9</xdr:col>
      <xdr:colOff>0</xdr:colOff>
      <xdr:row>83</xdr:row>
      <xdr:rowOff>0</xdr:rowOff>
    </xdr:to>
    <xdr:sp macro="" textlink="">
      <xdr:nvSpPr>
        <xdr:cNvPr id="3122" name="Line 50"/>
        <xdr:cNvSpPr>
          <a:spLocks noChangeShapeType="1"/>
        </xdr:cNvSpPr>
      </xdr:nvSpPr>
      <xdr:spPr bwMode="auto">
        <a:xfrm flipV="1">
          <a:off x="5981700" y="14544675"/>
          <a:ext cx="590550" cy="1152525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77</xdr:row>
      <xdr:rowOff>0</xdr:rowOff>
    </xdr:from>
    <xdr:to>
      <xdr:col>10</xdr:col>
      <xdr:colOff>0</xdr:colOff>
      <xdr:row>83</xdr:row>
      <xdr:rowOff>0</xdr:rowOff>
    </xdr:to>
    <xdr:sp macro="" textlink="">
      <xdr:nvSpPr>
        <xdr:cNvPr id="3123" name="Line 51"/>
        <xdr:cNvSpPr>
          <a:spLocks noChangeShapeType="1"/>
        </xdr:cNvSpPr>
      </xdr:nvSpPr>
      <xdr:spPr bwMode="auto">
        <a:xfrm flipV="1">
          <a:off x="5991225" y="14544675"/>
          <a:ext cx="1162050" cy="1152525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77</xdr:row>
      <xdr:rowOff>9525</xdr:rowOff>
    </xdr:from>
    <xdr:to>
      <xdr:col>9</xdr:col>
      <xdr:colOff>314325</xdr:colOff>
      <xdr:row>82</xdr:row>
      <xdr:rowOff>209550</xdr:rowOff>
    </xdr:to>
    <xdr:sp macro="" textlink="">
      <xdr:nvSpPr>
        <xdr:cNvPr id="3124" name="Line 52"/>
        <xdr:cNvSpPr>
          <a:spLocks noChangeShapeType="1"/>
        </xdr:cNvSpPr>
      </xdr:nvSpPr>
      <xdr:spPr bwMode="auto">
        <a:xfrm flipV="1">
          <a:off x="5991225" y="14554200"/>
          <a:ext cx="895350" cy="1133475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12</xdr:col>
      <xdr:colOff>352425</xdr:colOff>
      <xdr:row>80</xdr:row>
      <xdr:rowOff>0</xdr:rowOff>
    </xdr:from>
    <xdr:to>
      <xdr:col>13</xdr:col>
      <xdr:colOff>0</xdr:colOff>
      <xdr:row>80</xdr:row>
      <xdr:rowOff>0</xdr:rowOff>
    </xdr:to>
    <xdr:sp macro="" textlink="">
      <xdr:nvSpPr>
        <xdr:cNvPr id="3125" name="Line 53"/>
        <xdr:cNvSpPr>
          <a:spLocks noChangeShapeType="1"/>
        </xdr:cNvSpPr>
      </xdr:nvSpPr>
      <xdr:spPr bwMode="auto">
        <a:xfrm>
          <a:off x="8667750" y="1515427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87</xdr:row>
      <xdr:rowOff>0</xdr:rowOff>
    </xdr:from>
    <xdr:to>
      <xdr:col>10</xdr:col>
      <xdr:colOff>0</xdr:colOff>
      <xdr:row>87</xdr:row>
      <xdr:rowOff>123825</xdr:rowOff>
    </xdr:to>
    <xdr:sp macro="" textlink="">
      <xdr:nvSpPr>
        <xdr:cNvPr id="3126" name="Line 54"/>
        <xdr:cNvSpPr>
          <a:spLocks noChangeShapeType="1"/>
        </xdr:cNvSpPr>
      </xdr:nvSpPr>
      <xdr:spPr bwMode="auto">
        <a:xfrm flipV="1">
          <a:off x="7153275" y="1640205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0</xdr:colOff>
      <xdr:row>88</xdr:row>
      <xdr:rowOff>0</xdr:rowOff>
    </xdr:from>
    <xdr:to>
      <xdr:col>11</xdr:col>
      <xdr:colOff>0</xdr:colOff>
      <xdr:row>94</xdr:row>
      <xdr:rowOff>9525</xdr:rowOff>
    </xdr:to>
    <xdr:sp macro="" textlink="">
      <xdr:nvSpPr>
        <xdr:cNvPr id="3127" name="Line 55"/>
        <xdr:cNvSpPr>
          <a:spLocks noChangeShapeType="1"/>
        </xdr:cNvSpPr>
      </xdr:nvSpPr>
      <xdr:spPr bwMode="auto">
        <a:xfrm flipV="1">
          <a:off x="5991225" y="16640175"/>
          <a:ext cx="1743075" cy="116205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88</xdr:row>
      <xdr:rowOff>0</xdr:rowOff>
    </xdr:from>
    <xdr:to>
      <xdr:col>10</xdr:col>
      <xdr:colOff>0</xdr:colOff>
      <xdr:row>94</xdr:row>
      <xdr:rowOff>0</xdr:rowOff>
    </xdr:to>
    <xdr:sp macro="" textlink="">
      <xdr:nvSpPr>
        <xdr:cNvPr id="3128" name="Line 56"/>
        <xdr:cNvSpPr>
          <a:spLocks noChangeShapeType="1"/>
        </xdr:cNvSpPr>
      </xdr:nvSpPr>
      <xdr:spPr bwMode="auto">
        <a:xfrm flipV="1">
          <a:off x="5991225" y="16640175"/>
          <a:ext cx="1162050" cy="1152525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8</xdr:col>
      <xdr:colOff>9525</xdr:colOff>
      <xdr:row>88</xdr:row>
      <xdr:rowOff>9525</xdr:rowOff>
    </xdr:from>
    <xdr:to>
      <xdr:col>10</xdr:col>
      <xdr:colOff>304800</xdr:colOff>
      <xdr:row>93</xdr:row>
      <xdr:rowOff>209550</xdr:rowOff>
    </xdr:to>
    <xdr:sp macro="" textlink="">
      <xdr:nvSpPr>
        <xdr:cNvPr id="3129" name="Line 57"/>
        <xdr:cNvSpPr>
          <a:spLocks noChangeShapeType="1"/>
        </xdr:cNvSpPr>
      </xdr:nvSpPr>
      <xdr:spPr bwMode="auto">
        <a:xfrm flipV="1">
          <a:off x="6000750" y="16649700"/>
          <a:ext cx="1457325" cy="1133475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12</xdr:col>
      <xdr:colOff>352425</xdr:colOff>
      <xdr:row>91</xdr:row>
      <xdr:rowOff>0</xdr:rowOff>
    </xdr:from>
    <xdr:to>
      <xdr:col>13</xdr:col>
      <xdr:colOff>0</xdr:colOff>
      <xdr:row>91</xdr:row>
      <xdr:rowOff>0</xdr:rowOff>
    </xdr:to>
    <xdr:sp macro="" textlink="">
      <xdr:nvSpPr>
        <xdr:cNvPr id="3130" name="Line 58"/>
        <xdr:cNvSpPr>
          <a:spLocks noChangeShapeType="1"/>
        </xdr:cNvSpPr>
      </xdr:nvSpPr>
      <xdr:spPr bwMode="auto">
        <a:xfrm>
          <a:off x="8667750" y="1724977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98</xdr:row>
      <xdr:rowOff>0</xdr:rowOff>
    </xdr:from>
    <xdr:to>
      <xdr:col>10</xdr:col>
      <xdr:colOff>0</xdr:colOff>
      <xdr:row>98</xdr:row>
      <xdr:rowOff>123825</xdr:rowOff>
    </xdr:to>
    <xdr:sp macro="" textlink="">
      <xdr:nvSpPr>
        <xdr:cNvPr id="3131" name="Line 59"/>
        <xdr:cNvSpPr>
          <a:spLocks noChangeShapeType="1"/>
        </xdr:cNvSpPr>
      </xdr:nvSpPr>
      <xdr:spPr bwMode="auto">
        <a:xfrm flipV="1">
          <a:off x="7153275" y="1849755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9525</xdr:colOff>
      <xdr:row>99</xdr:row>
      <xdr:rowOff>0</xdr:rowOff>
    </xdr:from>
    <xdr:to>
      <xdr:col>12</xdr:col>
      <xdr:colOff>9525</xdr:colOff>
      <xdr:row>105</xdr:row>
      <xdr:rowOff>0</xdr:rowOff>
    </xdr:to>
    <xdr:sp macro="" textlink="">
      <xdr:nvSpPr>
        <xdr:cNvPr id="3132" name="Line 60"/>
        <xdr:cNvSpPr>
          <a:spLocks noChangeShapeType="1"/>
        </xdr:cNvSpPr>
      </xdr:nvSpPr>
      <xdr:spPr bwMode="auto">
        <a:xfrm flipV="1">
          <a:off x="6000750" y="18735675"/>
          <a:ext cx="2324100" cy="1152525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7</xdr:col>
      <xdr:colOff>571500</xdr:colOff>
      <xdr:row>99</xdr:row>
      <xdr:rowOff>0</xdr:rowOff>
    </xdr:from>
    <xdr:to>
      <xdr:col>11</xdr:col>
      <xdr:colOff>0</xdr:colOff>
      <xdr:row>105</xdr:row>
      <xdr:rowOff>0</xdr:rowOff>
    </xdr:to>
    <xdr:sp macro="" textlink="">
      <xdr:nvSpPr>
        <xdr:cNvPr id="3133" name="Line 61"/>
        <xdr:cNvSpPr>
          <a:spLocks noChangeShapeType="1"/>
        </xdr:cNvSpPr>
      </xdr:nvSpPr>
      <xdr:spPr bwMode="auto">
        <a:xfrm flipV="1">
          <a:off x="5981700" y="18735675"/>
          <a:ext cx="1752600" cy="1152525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8</xdr:col>
      <xdr:colOff>9525</xdr:colOff>
      <xdr:row>99</xdr:row>
      <xdr:rowOff>0</xdr:rowOff>
    </xdr:from>
    <xdr:to>
      <xdr:col>11</xdr:col>
      <xdr:colOff>285750</xdr:colOff>
      <xdr:row>105</xdr:row>
      <xdr:rowOff>0</xdr:rowOff>
    </xdr:to>
    <xdr:sp macro="" textlink="">
      <xdr:nvSpPr>
        <xdr:cNvPr id="3134" name="Line 62"/>
        <xdr:cNvSpPr>
          <a:spLocks noChangeShapeType="1"/>
        </xdr:cNvSpPr>
      </xdr:nvSpPr>
      <xdr:spPr bwMode="auto">
        <a:xfrm flipV="1">
          <a:off x="6000750" y="18735675"/>
          <a:ext cx="2019300" cy="1152525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12</xdr:col>
      <xdr:colOff>352425</xdr:colOff>
      <xdr:row>102</xdr:row>
      <xdr:rowOff>0</xdr:rowOff>
    </xdr:from>
    <xdr:to>
      <xdr:col>13</xdr:col>
      <xdr:colOff>0</xdr:colOff>
      <xdr:row>102</xdr:row>
      <xdr:rowOff>0</xdr:rowOff>
    </xdr:to>
    <xdr:sp macro="" textlink="">
      <xdr:nvSpPr>
        <xdr:cNvPr id="3135" name="Line 63"/>
        <xdr:cNvSpPr>
          <a:spLocks noChangeShapeType="1"/>
        </xdr:cNvSpPr>
      </xdr:nvSpPr>
      <xdr:spPr bwMode="auto">
        <a:xfrm>
          <a:off x="8667750" y="1934527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109</xdr:row>
      <xdr:rowOff>0</xdr:rowOff>
    </xdr:from>
    <xdr:to>
      <xdr:col>10</xdr:col>
      <xdr:colOff>0</xdr:colOff>
      <xdr:row>109</xdr:row>
      <xdr:rowOff>123825</xdr:rowOff>
    </xdr:to>
    <xdr:sp macro="" textlink="">
      <xdr:nvSpPr>
        <xdr:cNvPr id="3136" name="Line 64"/>
        <xdr:cNvSpPr>
          <a:spLocks noChangeShapeType="1"/>
        </xdr:cNvSpPr>
      </xdr:nvSpPr>
      <xdr:spPr bwMode="auto">
        <a:xfrm flipV="1">
          <a:off x="7153275" y="2059305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571500</xdr:colOff>
      <xdr:row>110</xdr:row>
      <xdr:rowOff>0</xdr:rowOff>
    </xdr:from>
    <xdr:to>
      <xdr:col>12</xdr:col>
      <xdr:colOff>0</xdr:colOff>
      <xdr:row>115</xdr:row>
      <xdr:rowOff>209550</xdr:rowOff>
    </xdr:to>
    <xdr:sp macro="" textlink="">
      <xdr:nvSpPr>
        <xdr:cNvPr id="3137" name="Line 65"/>
        <xdr:cNvSpPr>
          <a:spLocks noChangeShapeType="1"/>
        </xdr:cNvSpPr>
      </xdr:nvSpPr>
      <xdr:spPr bwMode="auto">
        <a:xfrm flipV="1">
          <a:off x="6562725" y="20831175"/>
          <a:ext cx="1752600" cy="114300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0</xdr:rowOff>
    </xdr:from>
    <xdr:to>
      <xdr:col>12</xdr:col>
      <xdr:colOff>0</xdr:colOff>
      <xdr:row>115</xdr:row>
      <xdr:rowOff>209550</xdr:rowOff>
    </xdr:to>
    <xdr:sp macro="" textlink="">
      <xdr:nvSpPr>
        <xdr:cNvPr id="3138" name="Line 66"/>
        <xdr:cNvSpPr>
          <a:spLocks noChangeShapeType="1"/>
        </xdr:cNvSpPr>
      </xdr:nvSpPr>
      <xdr:spPr bwMode="auto">
        <a:xfrm flipV="1">
          <a:off x="5991225" y="20831175"/>
          <a:ext cx="2324100" cy="114300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8</xdr:col>
      <xdr:colOff>266700</xdr:colOff>
      <xdr:row>110</xdr:row>
      <xdr:rowOff>9525</xdr:rowOff>
    </xdr:from>
    <xdr:to>
      <xdr:col>11</xdr:col>
      <xdr:colOff>571500</xdr:colOff>
      <xdr:row>116</xdr:row>
      <xdr:rowOff>0</xdr:rowOff>
    </xdr:to>
    <xdr:sp macro="" textlink="">
      <xdr:nvSpPr>
        <xdr:cNvPr id="3139" name="Line 67"/>
        <xdr:cNvSpPr>
          <a:spLocks noChangeShapeType="1"/>
        </xdr:cNvSpPr>
      </xdr:nvSpPr>
      <xdr:spPr bwMode="auto">
        <a:xfrm flipV="1">
          <a:off x="6257925" y="20840700"/>
          <a:ext cx="2047875" cy="114300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12</xdr:col>
      <xdr:colOff>352425</xdr:colOff>
      <xdr:row>113</xdr:row>
      <xdr:rowOff>0</xdr:rowOff>
    </xdr:from>
    <xdr:to>
      <xdr:col>13</xdr:col>
      <xdr:colOff>0</xdr:colOff>
      <xdr:row>113</xdr:row>
      <xdr:rowOff>0</xdr:rowOff>
    </xdr:to>
    <xdr:sp macro="" textlink="">
      <xdr:nvSpPr>
        <xdr:cNvPr id="3140" name="Line 68"/>
        <xdr:cNvSpPr>
          <a:spLocks noChangeShapeType="1"/>
        </xdr:cNvSpPr>
      </xdr:nvSpPr>
      <xdr:spPr bwMode="auto">
        <a:xfrm>
          <a:off x="8667750" y="2144077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120</xdr:row>
      <xdr:rowOff>0</xdr:rowOff>
    </xdr:from>
    <xdr:to>
      <xdr:col>10</xdr:col>
      <xdr:colOff>0</xdr:colOff>
      <xdr:row>120</xdr:row>
      <xdr:rowOff>123825</xdr:rowOff>
    </xdr:to>
    <xdr:sp macro="" textlink="">
      <xdr:nvSpPr>
        <xdr:cNvPr id="3141" name="Line 69"/>
        <xdr:cNvSpPr>
          <a:spLocks noChangeShapeType="1"/>
        </xdr:cNvSpPr>
      </xdr:nvSpPr>
      <xdr:spPr bwMode="auto">
        <a:xfrm flipV="1">
          <a:off x="7153275" y="2268855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121</xdr:row>
      <xdr:rowOff>0</xdr:rowOff>
    </xdr:from>
    <xdr:to>
      <xdr:col>12</xdr:col>
      <xdr:colOff>0</xdr:colOff>
      <xdr:row>126</xdr:row>
      <xdr:rowOff>209550</xdr:rowOff>
    </xdr:to>
    <xdr:sp macro="" textlink="">
      <xdr:nvSpPr>
        <xdr:cNvPr id="3142" name="Line 70"/>
        <xdr:cNvSpPr>
          <a:spLocks noChangeShapeType="1"/>
        </xdr:cNvSpPr>
      </xdr:nvSpPr>
      <xdr:spPr bwMode="auto">
        <a:xfrm flipV="1">
          <a:off x="7153275" y="22926675"/>
          <a:ext cx="1162050" cy="114300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121</xdr:row>
      <xdr:rowOff>0</xdr:rowOff>
    </xdr:from>
    <xdr:to>
      <xdr:col>11</xdr:col>
      <xdr:colOff>571500</xdr:colOff>
      <xdr:row>127</xdr:row>
      <xdr:rowOff>9525</xdr:rowOff>
    </xdr:to>
    <xdr:sp macro="" textlink="">
      <xdr:nvSpPr>
        <xdr:cNvPr id="3143" name="Line 71"/>
        <xdr:cNvSpPr>
          <a:spLocks noChangeShapeType="1"/>
        </xdr:cNvSpPr>
      </xdr:nvSpPr>
      <xdr:spPr bwMode="auto">
        <a:xfrm flipV="1">
          <a:off x="6572250" y="22926675"/>
          <a:ext cx="1733550" cy="116205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120</xdr:row>
      <xdr:rowOff>228600</xdr:rowOff>
    </xdr:from>
    <xdr:to>
      <xdr:col>12</xdr:col>
      <xdr:colOff>0</xdr:colOff>
      <xdr:row>127</xdr:row>
      <xdr:rowOff>0</xdr:rowOff>
    </xdr:to>
    <xdr:sp macro="" textlink="">
      <xdr:nvSpPr>
        <xdr:cNvPr id="3144" name="Line 72"/>
        <xdr:cNvSpPr>
          <a:spLocks noChangeShapeType="1"/>
        </xdr:cNvSpPr>
      </xdr:nvSpPr>
      <xdr:spPr bwMode="auto">
        <a:xfrm flipV="1">
          <a:off x="6877050" y="22917150"/>
          <a:ext cx="1438275" cy="116205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12</xdr:col>
      <xdr:colOff>352425</xdr:colOff>
      <xdr:row>124</xdr:row>
      <xdr:rowOff>0</xdr:rowOff>
    </xdr:from>
    <xdr:to>
      <xdr:col>13</xdr:col>
      <xdr:colOff>0</xdr:colOff>
      <xdr:row>124</xdr:row>
      <xdr:rowOff>0</xdr:rowOff>
    </xdr:to>
    <xdr:sp macro="" textlink="">
      <xdr:nvSpPr>
        <xdr:cNvPr id="3145" name="Line 73"/>
        <xdr:cNvSpPr>
          <a:spLocks noChangeShapeType="1"/>
        </xdr:cNvSpPr>
      </xdr:nvSpPr>
      <xdr:spPr bwMode="auto">
        <a:xfrm>
          <a:off x="8667750" y="2353627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131</xdr:row>
      <xdr:rowOff>0</xdr:rowOff>
    </xdr:from>
    <xdr:to>
      <xdr:col>10</xdr:col>
      <xdr:colOff>0</xdr:colOff>
      <xdr:row>131</xdr:row>
      <xdr:rowOff>123825</xdr:rowOff>
    </xdr:to>
    <xdr:sp macro="" textlink="">
      <xdr:nvSpPr>
        <xdr:cNvPr id="3146" name="Line 74"/>
        <xdr:cNvSpPr>
          <a:spLocks noChangeShapeType="1"/>
        </xdr:cNvSpPr>
      </xdr:nvSpPr>
      <xdr:spPr bwMode="auto">
        <a:xfrm flipV="1">
          <a:off x="7153275" y="2478405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571500</xdr:colOff>
      <xdr:row>131</xdr:row>
      <xdr:rowOff>228600</xdr:rowOff>
    </xdr:from>
    <xdr:to>
      <xdr:col>12</xdr:col>
      <xdr:colOff>0</xdr:colOff>
      <xdr:row>137</xdr:row>
      <xdr:rowOff>209550</xdr:rowOff>
    </xdr:to>
    <xdr:sp macro="" textlink="">
      <xdr:nvSpPr>
        <xdr:cNvPr id="3147" name="Line 75"/>
        <xdr:cNvSpPr>
          <a:spLocks noChangeShapeType="1"/>
        </xdr:cNvSpPr>
      </xdr:nvSpPr>
      <xdr:spPr bwMode="auto">
        <a:xfrm flipV="1">
          <a:off x="7724775" y="25012650"/>
          <a:ext cx="590550" cy="1152525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131</xdr:row>
      <xdr:rowOff>228600</xdr:rowOff>
    </xdr:from>
    <xdr:to>
      <xdr:col>11</xdr:col>
      <xdr:colOff>571500</xdr:colOff>
      <xdr:row>138</xdr:row>
      <xdr:rowOff>0</xdr:rowOff>
    </xdr:to>
    <xdr:sp macro="" textlink="">
      <xdr:nvSpPr>
        <xdr:cNvPr id="3148" name="Line 76"/>
        <xdr:cNvSpPr>
          <a:spLocks noChangeShapeType="1"/>
        </xdr:cNvSpPr>
      </xdr:nvSpPr>
      <xdr:spPr bwMode="auto">
        <a:xfrm flipV="1">
          <a:off x="7153275" y="25012650"/>
          <a:ext cx="1152525" cy="116205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10</xdr:col>
      <xdr:colOff>323850</xdr:colOff>
      <xdr:row>131</xdr:row>
      <xdr:rowOff>228600</xdr:rowOff>
    </xdr:from>
    <xdr:to>
      <xdr:col>12</xdr:col>
      <xdr:colOff>0</xdr:colOff>
      <xdr:row>137</xdr:row>
      <xdr:rowOff>209550</xdr:rowOff>
    </xdr:to>
    <xdr:sp macro="" textlink="">
      <xdr:nvSpPr>
        <xdr:cNvPr id="3149" name="Line 77"/>
        <xdr:cNvSpPr>
          <a:spLocks noChangeShapeType="1"/>
        </xdr:cNvSpPr>
      </xdr:nvSpPr>
      <xdr:spPr bwMode="auto">
        <a:xfrm flipV="1">
          <a:off x="7477125" y="25012650"/>
          <a:ext cx="838200" cy="1152525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12</xdr:col>
      <xdr:colOff>352425</xdr:colOff>
      <xdr:row>135</xdr:row>
      <xdr:rowOff>0</xdr:rowOff>
    </xdr:from>
    <xdr:to>
      <xdr:col>13</xdr:col>
      <xdr:colOff>0</xdr:colOff>
      <xdr:row>135</xdr:row>
      <xdr:rowOff>0</xdr:rowOff>
    </xdr:to>
    <xdr:sp macro="" textlink="">
      <xdr:nvSpPr>
        <xdr:cNvPr id="3150" name="Line 78"/>
        <xdr:cNvSpPr>
          <a:spLocks noChangeShapeType="1"/>
        </xdr:cNvSpPr>
      </xdr:nvSpPr>
      <xdr:spPr bwMode="auto">
        <a:xfrm>
          <a:off x="8667750" y="2563177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5" zoomScaleNormal="85" workbookViewId="0">
      <selection sqref="A1:F1"/>
    </sheetView>
  </sheetViews>
  <sheetFormatPr defaultColWidth="11.42578125" defaultRowHeight="12.75"/>
  <cols>
    <col min="1" max="1" width="6.42578125" customWidth="1"/>
    <col min="2" max="2" width="18.85546875" customWidth="1"/>
    <col min="3" max="4" width="7.7109375" customWidth="1"/>
    <col min="5" max="5" width="19.140625" customWidth="1"/>
    <col min="6" max="6" width="12.28515625" customWidth="1"/>
  </cols>
  <sheetData>
    <row r="1" spans="1:6" ht="27" customHeight="1">
      <c r="A1" s="131" t="s">
        <v>0</v>
      </c>
      <c r="B1" s="131"/>
      <c r="C1" s="131"/>
      <c r="D1" s="131"/>
      <c r="E1" s="131"/>
      <c r="F1" s="131"/>
    </row>
    <row r="2" spans="1:6" ht="27" customHeight="1">
      <c r="A2" s="100"/>
      <c r="B2" s="100"/>
      <c r="C2" s="100"/>
      <c r="D2" s="100"/>
      <c r="E2" s="100"/>
      <c r="F2" s="100"/>
    </row>
    <row r="3" spans="1:6">
      <c r="A3" t="s">
        <v>1</v>
      </c>
    </row>
    <row r="4" spans="1:6">
      <c r="A4" t="s">
        <v>2</v>
      </c>
    </row>
    <row r="5" spans="1:6">
      <c r="A5" t="s">
        <v>57</v>
      </c>
    </row>
    <row r="6" spans="1:6">
      <c r="A6" t="s">
        <v>58</v>
      </c>
    </row>
    <row r="7" spans="1:6" ht="24.95" customHeight="1"/>
    <row r="8" spans="1:6">
      <c r="A8" s="29" t="s">
        <v>3</v>
      </c>
      <c r="B8" s="16"/>
      <c r="C8" s="16"/>
      <c r="D8" s="16"/>
      <c r="E8" s="29" t="s">
        <v>4</v>
      </c>
      <c r="F8" s="29" t="s">
        <v>5</v>
      </c>
    </row>
    <row r="9" spans="1:6" ht="18">
      <c r="A9" s="46" t="s">
        <v>6</v>
      </c>
      <c r="B9" s="31" t="s">
        <v>7</v>
      </c>
      <c r="C9" s="31"/>
      <c r="D9" s="31"/>
      <c r="E9" s="31" t="s">
        <v>8</v>
      </c>
      <c r="F9" s="34" t="s">
        <v>9</v>
      </c>
    </row>
    <row r="10" spans="1:6" ht="18">
      <c r="A10" s="46" t="s">
        <v>10</v>
      </c>
      <c r="B10" s="31" t="s">
        <v>11</v>
      </c>
      <c r="C10" s="31"/>
      <c r="D10" s="31"/>
      <c r="E10" s="31" t="s">
        <v>8</v>
      </c>
      <c r="F10" s="34" t="s">
        <v>12</v>
      </c>
    </row>
    <row r="11" spans="1:6" ht="24.95" customHeight="1"/>
    <row r="12" spans="1:6">
      <c r="A12" s="29" t="s">
        <v>13</v>
      </c>
      <c r="B12" s="16"/>
      <c r="F12" s="29" t="s">
        <v>4</v>
      </c>
    </row>
    <row r="13" spans="1:6" ht="16.5">
      <c r="A13" s="46" t="s">
        <v>14</v>
      </c>
      <c r="B13" s="31" t="s">
        <v>15</v>
      </c>
      <c r="C13" s="31"/>
      <c r="D13" s="33"/>
      <c r="E13" s="32"/>
      <c r="F13" s="31" t="s">
        <v>16</v>
      </c>
    </row>
    <row r="14" spans="1:6" ht="16.5">
      <c r="A14" s="46" t="s">
        <v>17</v>
      </c>
      <c r="B14" s="31" t="s">
        <v>18</v>
      </c>
      <c r="C14" s="31"/>
      <c r="D14" s="33"/>
      <c r="E14" s="32"/>
      <c r="F14" s="31" t="s">
        <v>16</v>
      </c>
    </row>
    <row r="15" spans="1:6" ht="16.5">
      <c r="A15" s="46" t="s">
        <v>19</v>
      </c>
      <c r="B15" s="31" t="s">
        <v>20</v>
      </c>
      <c r="C15" s="31"/>
      <c r="D15" s="33"/>
      <c r="E15" s="32"/>
      <c r="F15" s="31" t="s">
        <v>16</v>
      </c>
    </row>
    <row r="16" spans="1:6" ht="16.5">
      <c r="A16" s="46" t="s">
        <v>21</v>
      </c>
      <c r="B16" s="31" t="s">
        <v>22</v>
      </c>
      <c r="C16" s="31"/>
      <c r="D16" s="33"/>
      <c r="E16" s="32"/>
      <c r="F16" s="31" t="s">
        <v>16</v>
      </c>
    </row>
    <row r="17" spans="1:6">
      <c r="A17" s="30" t="s">
        <v>23</v>
      </c>
      <c r="B17" s="31" t="s">
        <v>24</v>
      </c>
      <c r="C17" s="31"/>
      <c r="D17" s="33"/>
      <c r="E17" s="32"/>
      <c r="F17" s="31" t="s">
        <v>8</v>
      </c>
    </row>
    <row r="18" spans="1:6">
      <c r="A18" s="30" t="s">
        <v>39</v>
      </c>
      <c r="B18" s="33" t="s">
        <v>65</v>
      </c>
      <c r="C18" s="45"/>
      <c r="D18" s="45"/>
      <c r="E18" s="32"/>
      <c r="F18" s="31" t="s">
        <v>27</v>
      </c>
    </row>
    <row r="19" spans="1:6">
      <c r="A19" s="30" t="s">
        <v>25</v>
      </c>
      <c r="B19" s="33" t="s">
        <v>26</v>
      </c>
      <c r="C19" s="45"/>
      <c r="D19" s="45"/>
      <c r="E19" s="32"/>
      <c r="F19" s="31" t="s">
        <v>27</v>
      </c>
    </row>
    <row r="20" spans="1:6" ht="24.95" customHeight="1"/>
    <row r="21" spans="1:6" ht="18.75" thickBot="1">
      <c r="C21" s="35"/>
      <c r="D21" s="48" t="s">
        <v>28</v>
      </c>
    </row>
    <row r="22" spans="1:6" ht="16.5">
      <c r="A22" s="47" t="s">
        <v>10</v>
      </c>
      <c r="B22" s="37"/>
      <c r="C22" s="37"/>
      <c r="D22" s="38"/>
      <c r="E22" s="38"/>
    </row>
    <row r="23" spans="1:6">
      <c r="B23" s="39"/>
      <c r="C23" s="40"/>
      <c r="D23" s="41"/>
      <c r="E23" s="41"/>
    </row>
    <row r="24" spans="1:6" ht="18.75" thickBot="1">
      <c r="A24" s="36"/>
      <c r="B24" s="42"/>
      <c r="C24" s="43"/>
      <c r="D24" s="44"/>
      <c r="E24" s="44"/>
      <c r="F24" s="52" t="s">
        <v>29</v>
      </c>
    </row>
    <row r="25" spans="1:6">
      <c r="B25" s="39"/>
      <c r="C25" s="40"/>
      <c r="D25" s="41"/>
      <c r="E25" s="41"/>
    </row>
    <row r="26" spans="1:6">
      <c r="B26" s="39"/>
      <c r="C26" s="40"/>
      <c r="D26" s="41"/>
      <c r="E26" s="41"/>
    </row>
    <row r="27" spans="1:6" ht="17.25" thickBot="1">
      <c r="A27" s="47" t="s">
        <v>6</v>
      </c>
      <c r="B27" s="42"/>
      <c r="C27" s="43"/>
      <c r="D27" s="44"/>
      <c r="E27" s="44"/>
    </row>
    <row r="28" spans="1:6" ht="16.5">
      <c r="B28" s="49" t="s">
        <v>14</v>
      </c>
      <c r="C28" s="49" t="s">
        <v>17</v>
      </c>
      <c r="D28" s="1"/>
      <c r="E28" s="50" t="s">
        <v>19</v>
      </c>
      <c r="F28" s="51" t="s">
        <v>21</v>
      </c>
    </row>
    <row r="29" spans="1:6" ht="24.95" customHeight="1"/>
    <row r="30" spans="1:6">
      <c r="A30" s="29" t="s">
        <v>30</v>
      </c>
      <c r="B30" s="16"/>
    </row>
    <row r="31" spans="1:6">
      <c r="A31" t="s">
        <v>59</v>
      </c>
    </row>
    <row r="32" spans="1:6">
      <c r="A32" t="s">
        <v>60</v>
      </c>
    </row>
  </sheetData>
  <mergeCells count="1">
    <mergeCell ref="A1:F1"/>
  </mergeCells>
  <printOptions horizontalCentered="1" verticalCentered="1"/>
  <pageMargins left="0.75" right="0.75" top="1" bottom="1" header="0" footer="0"/>
  <pageSetup paperSize="9" orientation="portrait" horizontalDpi="300" verticalDpi="300" copies="0"/>
  <headerFooter alignWithMargins="0"/>
  <drawing r:id="rId1"/>
  <legacyDrawing r:id="rId2"/>
  <oleObjects>
    <oleObject progId="AutoCAD.Drawing.14" shapeId="1031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2"/>
  <sheetViews>
    <sheetView zoomScale="50" workbookViewId="0"/>
  </sheetViews>
  <sheetFormatPr defaultColWidth="11.42578125" defaultRowHeight="12.75"/>
  <cols>
    <col min="1" max="12" width="20.7109375" customWidth="1"/>
  </cols>
  <sheetData>
    <row r="1" spans="2:10" ht="18.75" thickBot="1">
      <c r="B1" s="22" t="s">
        <v>31</v>
      </c>
      <c r="C1" s="23" t="s">
        <v>32</v>
      </c>
      <c r="D1" s="24" t="s">
        <v>33</v>
      </c>
      <c r="E1" s="24" t="s">
        <v>34</v>
      </c>
      <c r="F1" s="24" t="s">
        <v>35</v>
      </c>
      <c r="G1" s="24" t="s">
        <v>36</v>
      </c>
      <c r="H1" s="25" t="s">
        <v>37</v>
      </c>
      <c r="I1" s="124" t="s">
        <v>56</v>
      </c>
      <c r="J1" s="26" t="s">
        <v>38</v>
      </c>
    </row>
    <row r="2" spans="2:10" ht="18.75" thickBot="1">
      <c r="B2" s="27">
        <f>E2*H2/1000</f>
        <v>-100</v>
      </c>
      <c r="C2" s="28">
        <f>F2*H2/1000</f>
        <v>0.5</v>
      </c>
      <c r="D2" s="126">
        <v>-8</v>
      </c>
      <c r="E2" s="126">
        <f>-100/20</f>
        <v>-5</v>
      </c>
      <c r="F2" s="126">
        <f>0.5/20</f>
        <v>2.5000000000000001E-2</v>
      </c>
      <c r="G2" s="126">
        <v>0.13</v>
      </c>
      <c r="H2" s="129">
        <v>20000</v>
      </c>
      <c r="I2" s="127">
        <v>0.25</v>
      </c>
      <c r="J2" s="128">
        <v>0.8</v>
      </c>
    </row>
  </sheetData>
  <printOptions horizontalCentered="1" verticalCentered="1"/>
  <pageMargins left="0.62" right="0.56999999999999995" top="1" bottom="1" header="0" footer="0"/>
  <pageSetup paperSize="9" scale="54" orientation="landscape" horizontalDpi="300" verticalDpi="30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68"/>
  <sheetViews>
    <sheetView zoomScale="60" workbookViewId="0">
      <pane ySplit="4" topLeftCell="A5" activePane="bottomLeft" state="frozen"/>
      <selection pane="bottomLeft" activeCell="G7" sqref="G7"/>
    </sheetView>
  </sheetViews>
  <sheetFormatPr defaultColWidth="11.42578125" defaultRowHeight="12.75"/>
  <cols>
    <col min="4" max="6" width="11.7109375" customWidth="1"/>
    <col min="7" max="7" width="11.7109375" style="4" customWidth="1"/>
    <col min="8" max="8" width="8.7109375" style="4" customWidth="1"/>
    <col min="9" max="15" width="8.7109375" customWidth="1"/>
  </cols>
  <sheetData>
    <row r="1" spans="1:13" ht="18">
      <c r="A1" s="116" t="s">
        <v>6</v>
      </c>
      <c r="B1" s="117" t="s">
        <v>10</v>
      </c>
      <c r="C1" s="115" t="s">
        <v>14</v>
      </c>
      <c r="D1" s="115" t="s">
        <v>17</v>
      </c>
      <c r="E1" s="115" t="s">
        <v>19</v>
      </c>
      <c r="F1" s="115" t="s">
        <v>21</v>
      </c>
      <c r="G1" s="118" t="s">
        <v>23</v>
      </c>
      <c r="H1" s="118" t="s">
        <v>39</v>
      </c>
      <c r="I1" s="119" t="s">
        <v>25</v>
      </c>
    </row>
    <row r="2" spans="1:13" ht="13.5" thickBot="1">
      <c r="A2" s="120">
        <f>+interacción!B2</f>
        <v>-100</v>
      </c>
      <c r="B2" s="121">
        <f>+interacción!C2</f>
        <v>0.5</v>
      </c>
      <c r="C2" s="121">
        <f>+interacción!D2</f>
        <v>-8</v>
      </c>
      <c r="D2" s="121">
        <f>+interacción!E2</f>
        <v>-5</v>
      </c>
      <c r="E2" s="121">
        <f>+interacción!F2</f>
        <v>2.5000000000000001E-2</v>
      </c>
      <c r="F2" s="121">
        <f>+interacción!G2</f>
        <v>0.13</v>
      </c>
      <c r="G2" s="130">
        <f>+interacción!H2</f>
        <v>20000</v>
      </c>
      <c r="H2" s="122">
        <f>+interacción!I2</f>
        <v>0.25</v>
      </c>
      <c r="I2" s="123">
        <f>+interacción!J2</f>
        <v>0.8</v>
      </c>
    </row>
    <row r="3" spans="1:13" ht="13.5" thickBot="1">
      <c r="A3" s="55"/>
      <c r="B3" s="55"/>
      <c r="C3" s="55"/>
      <c r="D3" s="55"/>
      <c r="E3" s="55"/>
      <c r="F3" s="55"/>
      <c r="G3" s="55"/>
      <c r="H3" s="101"/>
      <c r="I3" s="55"/>
    </row>
    <row r="4" spans="1:13" ht="18">
      <c r="A4" s="115" t="s">
        <v>61</v>
      </c>
      <c r="B4" s="115" t="s">
        <v>62</v>
      </c>
      <c r="C4" s="113" t="s">
        <v>63</v>
      </c>
      <c r="D4" s="113" t="s">
        <v>64</v>
      </c>
      <c r="E4" s="113" t="s">
        <v>40</v>
      </c>
      <c r="F4" s="113" t="s">
        <v>41</v>
      </c>
      <c r="G4" s="114" t="s">
        <v>29</v>
      </c>
      <c r="H4" s="93"/>
    </row>
    <row r="5" spans="1:13" ht="13.5" customHeight="1">
      <c r="A5" s="63">
        <f>+$E$2</f>
        <v>2.5000000000000001E-2</v>
      </c>
      <c r="B5" s="59">
        <f t="shared" ref="B5:B15" si="0">+$F$2</f>
        <v>0.13</v>
      </c>
      <c r="D5" s="4">
        <f t="shared" ref="D5:D37" si="1">($E$2-A5)/(B5-A5)</f>
        <v>0</v>
      </c>
      <c r="E5" s="19">
        <f>(A5-$E$2)*D5/2*$G$2*(-0.5+D5/3)*$H$2*$I$2*$I$2</f>
        <v>0</v>
      </c>
      <c r="F5" s="19">
        <f>($E$2+(A5-$E$2)*D5/2)*$G$2*$H$2*$I$2</f>
        <v>100</v>
      </c>
      <c r="G5" s="94">
        <f>E5/F5</f>
        <v>0</v>
      </c>
      <c r="H5" s="95" t="s">
        <v>42</v>
      </c>
    </row>
    <row r="6" spans="1:13" ht="13.5" customHeight="1" thickBot="1">
      <c r="A6" s="63">
        <f>A5-$E$2*0.1</f>
        <v>2.2499999999999999E-2</v>
      </c>
      <c r="B6" s="59">
        <f t="shared" si="0"/>
        <v>0.13</v>
      </c>
      <c r="D6" s="4">
        <f t="shared" si="1"/>
        <v>2.3255813953488389E-2</v>
      </c>
      <c r="E6" s="19">
        <f t="shared" ref="E6:E15" si="2">(A6-$E$2)*D6/2*$G$2*(-0.5+D6/3)*$H$2*$I$2*$I$2</f>
        <v>4.5790517396791137E-2</v>
      </c>
      <c r="F6" s="19">
        <f t="shared" ref="F6:F15" si="3">($E$2+(A6-$E$2)*D6/2)*$G$2*$H$2*$I$2</f>
        <v>99.88372093023257</v>
      </c>
      <c r="G6" s="94">
        <f>E6/F6</f>
        <v>4.5843824169080759E-4</v>
      </c>
      <c r="H6" s="96"/>
      <c r="J6" s="35"/>
      <c r="K6" s="48" t="s">
        <v>28</v>
      </c>
    </row>
    <row r="7" spans="1:13" ht="13.5" customHeight="1">
      <c r="A7" s="63">
        <f t="shared" ref="A7:A15" si="4">A6-$E$2*0.1</f>
        <v>1.9999999999999997E-2</v>
      </c>
      <c r="B7" s="59">
        <f t="shared" si="0"/>
        <v>0.13</v>
      </c>
      <c r="D7" s="4">
        <f t="shared" si="1"/>
        <v>4.5454545454545491E-2</v>
      </c>
      <c r="E7" s="19">
        <f t="shared" si="2"/>
        <v>0.17630853994490389</v>
      </c>
      <c r="F7" s="19">
        <f t="shared" si="3"/>
        <v>99.545454545454561</v>
      </c>
      <c r="G7" s="94">
        <f t="shared" ref="G7:G70" si="5">E7/F7</f>
        <v>1.771136017711363E-3</v>
      </c>
      <c r="H7" s="97" t="s">
        <v>10</v>
      </c>
      <c r="I7" s="61"/>
      <c r="J7" s="61"/>
      <c r="K7" s="61"/>
      <c r="L7" s="62"/>
    </row>
    <row r="8" spans="1:13" ht="13.5" customHeight="1">
      <c r="A8" s="63">
        <f t="shared" si="4"/>
        <v>1.7499999999999995E-2</v>
      </c>
      <c r="B8" s="59">
        <f t="shared" si="0"/>
        <v>0.13</v>
      </c>
      <c r="D8" s="4">
        <f t="shared" si="1"/>
        <v>6.6666666666666721E-2</v>
      </c>
      <c r="E8" s="19">
        <f t="shared" si="2"/>
        <v>0.38222222222222291</v>
      </c>
      <c r="F8" s="19">
        <f t="shared" si="3"/>
        <v>99</v>
      </c>
      <c r="G8" s="94">
        <f t="shared" si="5"/>
        <v>3.8608305274972013E-3</v>
      </c>
      <c r="H8" s="96"/>
      <c r="I8" s="63"/>
      <c r="J8" s="64"/>
      <c r="K8" s="65"/>
      <c r="L8" s="65"/>
    </row>
    <row r="9" spans="1:13" ht="13.5" customHeight="1" thickBot="1">
      <c r="A9" s="63">
        <f t="shared" si="4"/>
        <v>1.4999999999999994E-2</v>
      </c>
      <c r="B9" s="59">
        <f t="shared" si="0"/>
        <v>0.13</v>
      </c>
      <c r="D9" s="4">
        <f t="shared" si="1"/>
        <v>8.6956521739130488E-2</v>
      </c>
      <c r="E9" s="19">
        <f t="shared" si="2"/>
        <v>0.65532451165721572</v>
      </c>
      <c r="F9" s="19">
        <f t="shared" si="3"/>
        <v>98.260869565217405</v>
      </c>
      <c r="G9" s="94">
        <f t="shared" si="5"/>
        <v>6.6692317558035216E-3</v>
      </c>
      <c r="H9" s="98"/>
      <c r="I9" s="66"/>
      <c r="J9" s="67"/>
      <c r="K9" s="68"/>
      <c r="L9" s="68"/>
      <c r="M9" s="52" t="s">
        <v>29</v>
      </c>
    </row>
    <row r="10" spans="1:13" ht="13.5" customHeight="1">
      <c r="A10" s="63">
        <f t="shared" si="4"/>
        <v>1.2499999999999994E-2</v>
      </c>
      <c r="B10" s="59">
        <f t="shared" si="0"/>
        <v>0.13</v>
      </c>
      <c r="D10" s="4">
        <f t="shared" si="1"/>
        <v>0.10638297872340431</v>
      </c>
      <c r="E10" s="19">
        <f t="shared" si="2"/>
        <v>0.98838086615361531</v>
      </c>
      <c r="F10" s="19">
        <f t="shared" si="3"/>
        <v>97.340425531914903</v>
      </c>
      <c r="G10" s="94">
        <f t="shared" si="5"/>
        <v>1.0153858078518015E-2</v>
      </c>
      <c r="H10" s="96"/>
      <c r="I10" s="63"/>
      <c r="J10" s="64"/>
      <c r="K10" s="65"/>
      <c r="L10" s="65"/>
    </row>
    <row r="11" spans="1:13" ht="13.5" customHeight="1">
      <c r="A11" s="63">
        <f t="shared" si="4"/>
        <v>9.9999999999999933E-3</v>
      </c>
      <c r="B11" s="59">
        <f t="shared" si="0"/>
        <v>0.13</v>
      </c>
      <c r="D11" s="4">
        <f t="shared" si="1"/>
        <v>0.12500000000000006</v>
      </c>
      <c r="E11" s="19">
        <f t="shared" si="2"/>
        <v>1.3750000000000013</v>
      </c>
      <c r="F11" s="19">
        <f t="shared" si="3"/>
        <v>96.25</v>
      </c>
      <c r="G11" s="94">
        <f t="shared" si="5"/>
        <v>1.4285714285714299E-2</v>
      </c>
      <c r="H11" s="96"/>
      <c r="I11" s="63"/>
      <c r="J11" s="64"/>
      <c r="K11" s="65"/>
      <c r="L11" s="65"/>
    </row>
    <row r="12" spans="1:13" ht="13.5" customHeight="1" thickBot="1">
      <c r="A12" s="63">
        <f t="shared" si="4"/>
        <v>7.4999999999999928E-3</v>
      </c>
      <c r="B12" s="59">
        <f t="shared" si="0"/>
        <v>0.13</v>
      </c>
      <c r="D12" s="4">
        <f t="shared" si="1"/>
        <v>0.1428571428571429</v>
      </c>
      <c r="E12" s="19">
        <f t="shared" si="2"/>
        <v>1.8095238095238113</v>
      </c>
      <c r="F12" s="19">
        <f t="shared" si="3"/>
        <v>95</v>
      </c>
      <c r="G12" s="94">
        <f t="shared" si="5"/>
        <v>1.9047619047619067E-2</v>
      </c>
      <c r="H12" s="97" t="s">
        <v>6</v>
      </c>
      <c r="I12" s="66"/>
      <c r="J12" s="67"/>
      <c r="K12" s="68"/>
      <c r="L12" s="68"/>
    </row>
    <row r="13" spans="1:13" ht="13.5" customHeight="1">
      <c r="A13" s="63">
        <f>A12-$E$2*0.1</f>
        <v>4.9999999999999923E-3</v>
      </c>
      <c r="B13" s="59">
        <f t="shared" si="0"/>
        <v>0.13</v>
      </c>
      <c r="D13" s="4">
        <f t="shared" si="1"/>
        <v>0.16000000000000009</v>
      </c>
      <c r="E13" s="19">
        <f t="shared" si="2"/>
        <v>2.2869333333333359</v>
      </c>
      <c r="F13" s="19">
        <f t="shared" si="3"/>
        <v>93.600000000000009</v>
      </c>
      <c r="G13" s="94">
        <f t="shared" si="5"/>
        <v>2.4433048433048457E-2</v>
      </c>
      <c r="H13" s="96"/>
      <c r="I13" s="49" t="s">
        <v>14</v>
      </c>
      <c r="J13" s="49" t="s">
        <v>17</v>
      </c>
      <c r="K13" s="1"/>
      <c r="L13" s="50" t="s">
        <v>19</v>
      </c>
      <c r="M13" s="51" t="s">
        <v>21</v>
      </c>
    </row>
    <row r="14" spans="1:13" ht="13.5" customHeight="1">
      <c r="A14" s="63">
        <f t="shared" si="4"/>
        <v>2.4999999999999918E-3</v>
      </c>
      <c r="B14" s="59">
        <f t="shared" si="0"/>
        <v>0.13</v>
      </c>
      <c r="D14" s="4">
        <f t="shared" si="1"/>
        <v>0.17647058823529418</v>
      </c>
      <c r="E14" s="19">
        <f t="shared" si="2"/>
        <v>2.8027681660899675</v>
      </c>
      <c r="F14" s="19">
        <f t="shared" si="3"/>
        <v>92.058823529411768</v>
      </c>
      <c r="G14" s="94">
        <f t="shared" si="5"/>
        <v>3.0445404999060347E-2</v>
      </c>
      <c r="H14" s="96"/>
    </row>
    <row r="15" spans="1:13" ht="13.5" customHeight="1" thickBot="1">
      <c r="A15" s="66">
        <f t="shared" si="4"/>
        <v>-8.6736173798840355E-18</v>
      </c>
      <c r="B15" s="60">
        <f t="shared" si="0"/>
        <v>0.13</v>
      </c>
      <c r="C15" s="7"/>
      <c r="D15" s="8">
        <f t="shared" si="1"/>
        <v>0.19230769230769237</v>
      </c>
      <c r="E15" s="20">
        <f t="shared" si="2"/>
        <v>3.3530571992110474</v>
      </c>
      <c r="F15" s="20">
        <f t="shared" si="3"/>
        <v>90.384615384615387</v>
      </c>
      <c r="G15" s="94">
        <f t="shared" si="5"/>
        <v>3.7097654118930734E-2</v>
      </c>
      <c r="H15" s="96"/>
    </row>
    <row r="16" spans="1:13">
      <c r="A16" s="63">
        <v>0</v>
      </c>
      <c r="B16" s="59">
        <f t="shared" ref="B16:B26" si="6">+$F$2</f>
        <v>0.13</v>
      </c>
      <c r="D16" s="4">
        <f t="shared" si="1"/>
        <v>0.19230769230769232</v>
      </c>
      <c r="E16" s="19">
        <f>(A16-$E$2)*D16/2*$G$2*(-0.5+D16/3)*$H$2*$I$2*$I$2</f>
        <v>3.3530571992110461</v>
      </c>
      <c r="F16" s="19">
        <f>($E$2+(+A16-$E$2)*D16/2)*$G$2*$H$2*$I$2</f>
        <v>90.384615384615401</v>
      </c>
      <c r="G16" s="94">
        <f t="shared" si="5"/>
        <v>3.7097654118930713E-2</v>
      </c>
      <c r="H16" s="95" t="s">
        <v>43</v>
      </c>
    </row>
    <row r="17" spans="1:13" ht="18.75" thickBot="1">
      <c r="A17" s="63">
        <f>A16+$D$2*0.1</f>
        <v>-0.5</v>
      </c>
      <c r="B17" s="59">
        <f t="shared" si="6"/>
        <v>0.13</v>
      </c>
      <c r="D17" s="4">
        <f t="shared" si="1"/>
        <v>0.83333333333333337</v>
      </c>
      <c r="E17" s="19">
        <f t="shared" ref="E17:E26" si="7">(A17-$E$2)*D17/2*$G$2*(-0.5+D17/3)*$H$2*$I$2*$I$2</f>
        <v>155.5555555555556</v>
      </c>
      <c r="F17" s="19">
        <f t="shared" ref="F17:F26" si="8">($E$2+(+A17-$E$2)*D17/2)*$G$2*$H$2*$I$2</f>
        <v>-775.00000000000011</v>
      </c>
      <c r="G17" s="94">
        <f t="shared" si="5"/>
        <v>-0.20071684587813624</v>
      </c>
      <c r="H17" s="96"/>
      <c r="J17" s="35"/>
      <c r="K17" s="48" t="s">
        <v>28</v>
      </c>
    </row>
    <row r="18" spans="1:13" ht="16.5">
      <c r="A18" s="63">
        <f t="shared" ref="A18:A25" si="9">A17+$D$2*0.1</f>
        <v>-1</v>
      </c>
      <c r="B18" s="59">
        <f t="shared" si="6"/>
        <v>0.13</v>
      </c>
      <c r="D18" s="4">
        <f t="shared" si="1"/>
        <v>0.90707964601769908</v>
      </c>
      <c r="E18" s="19">
        <f t="shared" si="7"/>
        <v>294.01153836113502</v>
      </c>
      <c r="F18" s="19">
        <f t="shared" si="8"/>
        <v>-1759.5132743362828</v>
      </c>
      <c r="G18" s="94">
        <f t="shared" si="5"/>
        <v>-0.16709822122373075</v>
      </c>
      <c r="H18" s="97" t="s">
        <v>10</v>
      </c>
      <c r="I18" s="61"/>
      <c r="J18" s="61"/>
      <c r="K18" s="61"/>
      <c r="L18" s="62"/>
    </row>
    <row r="19" spans="1:13">
      <c r="A19" s="63">
        <f t="shared" si="9"/>
        <v>-1.5</v>
      </c>
      <c r="B19" s="59">
        <f t="shared" si="6"/>
        <v>0.13</v>
      </c>
      <c r="D19" s="4">
        <f t="shared" si="1"/>
        <v>0.93558282208588961</v>
      </c>
      <c r="E19" s="19">
        <f t="shared" si="7"/>
        <v>429.4879997992648</v>
      </c>
      <c r="F19" s="19">
        <f t="shared" si="8"/>
        <v>-2753.527607361963</v>
      </c>
      <c r="G19" s="94">
        <f t="shared" si="5"/>
        <v>-0.1559773719540582</v>
      </c>
      <c r="H19" s="96"/>
      <c r="I19" s="63"/>
      <c r="J19" s="64"/>
      <c r="K19" s="65"/>
      <c r="L19" s="65"/>
    </row>
    <row r="20" spans="1:13" ht="18.75" thickBot="1">
      <c r="A20" s="63">
        <f t="shared" si="9"/>
        <v>-2</v>
      </c>
      <c r="B20" s="59">
        <f t="shared" si="6"/>
        <v>0.13</v>
      </c>
      <c r="D20" s="4">
        <f t="shared" si="1"/>
        <v>0.95070422535211263</v>
      </c>
      <c r="E20" s="19">
        <f t="shared" si="7"/>
        <v>563.99523903987324</v>
      </c>
      <c r="F20" s="19">
        <f t="shared" si="8"/>
        <v>-3750.3521126760565</v>
      </c>
      <c r="G20" s="94">
        <f t="shared" si="5"/>
        <v>-0.15038460978999529</v>
      </c>
      <c r="H20" s="98"/>
      <c r="I20" s="66"/>
      <c r="J20" s="67"/>
      <c r="K20" s="68"/>
      <c r="L20" s="68"/>
      <c r="M20" s="52" t="s">
        <v>29</v>
      </c>
    </row>
    <row r="21" spans="1:13">
      <c r="A21" s="63">
        <f t="shared" si="9"/>
        <v>-2.5</v>
      </c>
      <c r="B21" s="59">
        <f t="shared" si="6"/>
        <v>0.13</v>
      </c>
      <c r="D21" s="4">
        <f t="shared" si="1"/>
        <v>0.96007604562737647</v>
      </c>
      <c r="E21" s="19">
        <f t="shared" si="7"/>
        <v>698.06898080546671</v>
      </c>
      <c r="F21" s="19">
        <f t="shared" si="8"/>
        <v>-4748.3840304182513</v>
      </c>
      <c r="G21" s="94">
        <f t="shared" si="5"/>
        <v>-0.14701190475193701</v>
      </c>
      <c r="H21" s="96"/>
      <c r="I21" s="63"/>
      <c r="J21" s="64"/>
      <c r="K21" s="65"/>
      <c r="L21" s="65"/>
    </row>
    <row r="22" spans="1:13">
      <c r="A22" s="63">
        <f t="shared" si="9"/>
        <v>-3</v>
      </c>
      <c r="B22" s="59">
        <f t="shared" si="6"/>
        <v>0.13</v>
      </c>
      <c r="D22" s="4">
        <f t="shared" si="1"/>
        <v>0.9664536741214057</v>
      </c>
      <c r="E22" s="19">
        <f t="shared" si="7"/>
        <v>831.911795227742</v>
      </c>
      <c r="F22" s="19">
        <f t="shared" si="8"/>
        <v>-5747.0447284345046</v>
      </c>
      <c r="G22" s="94">
        <f t="shared" si="5"/>
        <v>-0.14475471038388019</v>
      </c>
      <c r="H22" s="96"/>
      <c r="I22" s="63"/>
      <c r="J22" s="64"/>
      <c r="K22" s="65"/>
      <c r="L22" s="65"/>
    </row>
    <row r="23" spans="1:13" ht="17.25" thickBot="1">
      <c r="A23" s="63">
        <f t="shared" si="9"/>
        <v>-3.5</v>
      </c>
      <c r="B23" s="59">
        <f t="shared" si="6"/>
        <v>0.13</v>
      </c>
      <c r="D23" s="4">
        <f t="shared" si="1"/>
        <v>0.97107438016528924</v>
      </c>
      <c r="E23" s="19">
        <f t="shared" si="7"/>
        <v>965.61710265692238</v>
      </c>
      <c r="F23" s="19">
        <f t="shared" si="8"/>
        <v>-6746.0743801652898</v>
      </c>
      <c r="G23" s="94">
        <f t="shared" si="5"/>
        <v>-0.14313763060425419</v>
      </c>
      <c r="H23" s="97" t="s">
        <v>6</v>
      </c>
      <c r="I23" s="66"/>
      <c r="J23" s="67"/>
      <c r="K23" s="68"/>
      <c r="L23" s="68"/>
    </row>
    <row r="24" spans="1:13" ht="16.5">
      <c r="A24" s="63">
        <f t="shared" si="9"/>
        <v>-4</v>
      </c>
      <c r="B24" s="59">
        <f t="shared" si="6"/>
        <v>0.13</v>
      </c>
      <c r="D24" s="4">
        <f t="shared" si="1"/>
        <v>0.97457627118644075</v>
      </c>
      <c r="E24" s="19">
        <f t="shared" si="7"/>
        <v>1099.2339366082547</v>
      </c>
      <c r="F24" s="19">
        <f t="shared" si="8"/>
        <v>-7745.3389830508495</v>
      </c>
      <c r="G24" s="94">
        <f t="shared" si="5"/>
        <v>-0.14192199192491275</v>
      </c>
      <c r="H24" s="96"/>
      <c r="I24" s="49" t="s">
        <v>14</v>
      </c>
      <c r="J24" s="49" t="s">
        <v>17</v>
      </c>
      <c r="K24" s="1"/>
      <c r="L24" s="50" t="s">
        <v>19</v>
      </c>
      <c r="M24" s="51" t="s">
        <v>21</v>
      </c>
    </row>
    <row r="25" spans="1:13">
      <c r="A25" s="63">
        <f t="shared" si="9"/>
        <v>-4.5</v>
      </c>
      <c r="B25" s="59">
        <f t="shared" si="6"/>
        <v>0.13</v>
      </c>
      <c r="D25" s="4">
        <f t="shared" si="1"/>
        <v>0.97732181425485976</v>
      </c>
      <c r="E25" s="19">
        <f t="shared" si="7"/>
        <v>1232.7904998701617</v>
      </c>
      <c r="F25" s="19">
        <f t="shared" si="8"/>
        <v>-8744.7624190064835</v>
      </c>
      <c r="G25" s="94">
        <f t="shared" si="5"/>
        <v>-0.14097472759130975</v>
      </c>
      <c r="H25" s="96"/>
    </row>
    <row r="26" spans="1:13" ht="13.5" thickBot="1">
      <c r="A26" s="66">
        <f>A25+$D$2*0.1</f>
        <v>-5</v>
      </c>
      <c r="B26" s="60">
        <f t="shared" si="6"/>
        <v>0.13</v>
      </c>
      <c r="C26" s="7"/>
      <c r="D26" s="8">
        <f t="shared" si="1"/>
        <v>0.97953216374269014</v>
      </c>
      <c r="E26" s="20">
        <f t="shared" si="7"/>
        <v>1366.3041619643654</v>
      </c>
      <c r="F26" s="20">
        <f t="shared" si="8"/>
        <v>-9744.2982456140362</v>
      </c>
      <c r="G26" s="94">
        <f t="shared" si="5"/>
        <v>-0.14021575772060821</v>
      </c>
      <c r="H26" s="96"/>
    </row>
    <row r="27" spans="1:13">
      <c r="A27" s="63">
        <f>+D2</f>
        <v>-5</v>
      </c>
      <c r="B27" s="59">
        <f t="shared" ref="B27:B37" si="10">+$F$2</f>
        <v>0.13</v>
      </c>
      <c r="C27" s="4">
        <f>($E$2-$D$2)/(-A27+B27)</f>
        <v>0.97953216374269014</v>
      </c>
      <c r="D27" s="4">
        <f t="shared" si="1"/>
        <v>0.97953216374269014</v>
      </c>
      <c r="E27" s="19">
        <f>(($E$2-$D$2)*C27/2*(-0.5+D27-C27/3)+$D$2*D27*(-0.5+D27/2)+$E$2*(1-D27)*D27/2)*$G$2*$H$2*$I$2*$I$2</f>
        <v>1366.3041619643652</v>
      </c>
      <c r="F27" s="19">
        <f>($D$2*D27+$E$2*(1-D27)+($E$2-$D$2)*C27/2)*$G$2*$H$2*$I$2</f>
        <v>-9744.298245614038</v>
      </c>
      <c r="G27" s="94">
        <f t="shared" si="5"/>
        <v>-0.14021575772060818</v>
      </c>
      <c r="H27" s="95" t="s">
        <v>44</v>
      </c>
    </row>
    <row r="28" spans="1:13" ht="18.75" thickBot="1">
      <c r="A28" s="63">
        <f>A27+($C$2-$D$2)*0.1</f>
        <v>-5.3</v>
      </c>
      <c r="B28" s="59">
        <f t="shared" si="10"/>
        <v>0.13</v>
      </c>
      <c r="C28" s="4">
        <f t="shared" ref="C28:C37" si="11">($E$2-$D$2)/(-A28+B28)</f>
        <v>0.92541436464088411</v>
      </c>
      <c r="D28" s="4">
        <f t="shared" si="1"/>
        <v>0.98066298342541447</v>
      </c>
      <c r="E28" s="19">
        <f t="shared" ref="E28:E37" si="12">(($E$2-$D$2)*C28/2*(-0.5+D28-C28/3)+$D$2*D28*(-0.5+D28/2)+$E$2*(1-D28)*D28/2)*$G$2*$H$2*$I$2*$I$2</f>
        <v>1433.6253472116239</v>
      </c>
      <c r="F28" s="19">
        <f t="shared" ref="F28:F37" si="13">($D$2*D28+$E$2*(1-D28)+($E$2-$D$2)*C28/2)*$G$2*$H$2*$I$2</f>
        <v>-10310.911602209942</v>
      </c>
      <c r="G28" s="94">
        <f t="shared" si="5"/>
        <v>-0.13903963126833074</v>
      </c>
      <c r="H28" s="96"/>
      <c r="J28" s="35"/>
      <c r="K28" s="48" t="s">
        <v>28</v>
      </c>
    </row>
    <row r="29" spans="1:13" ht="16.5">
      <c r="A29" s="63">
        <f t="shared" ref="A29:A37" si="14">A28+($C$2-$D$2)*0.1</f>
        <v>-5.6</v>
      </c>
      <c r="B29" s="59">
        <f t="shared" si="10"/>
        <v>0.13</v>
      </c>
      <c r="C29" s="4">
        <f t="shared" si="11"/>
        <v>0.87696335078534049</v>
      </c>
      <c r="D29" s="4">
        <f t="shared" si="1"/>
        <v>0.98167539267015713</v>
      </c>
      <c r="E29" s="19">
        <f t="shared" si="12"/>
        <v>1479.7264329376937</v>
      </c>
      <c r="F29" s="19">
        <f t="shared" si="13"/>
        <v>-10818.193717277485</v>
      </c>
      <c r="G29" s="94">
        <f t="shared" si="5"/>
        <v>-0.13678128452945496</v>
      </c>
      <c r="H29" s="97" t="s">
        <v>10</v>
      </c>
      <c r="I29" s="61"/>
      <c r="J29" s="61"/>
      <c r="K29" s="61"/>
      <c r="L29" s="62"/>
    </row>
    <row r="30" spans="1:13">
      <c r="A30" s="63">
        <f t="shared" si="14"/>
        <v>-5.8999999999999995</v>
      </c>
      <c r="B30" s="59">
        <f t="shared" si="10"/>
        <v>0.13</v>
      </c>
      <c r="C30" s="4">
        <f t="shared" si="11"/>
        <v>0.83333333333333348</v>
      </c>
      <c r="D30" s="4">
        <f t="shared" si="1"/>
        <v>0.98258706467661694</v>
      </c>
      <c r="E30" s="19">
        <f t="shared" si="12"/>
        <v>1509.7844112769483</v>
      </c>
      <c r="F30" s="19">
        <f t="shared" si="13"/>
        <v>-11275</v>
      </c>
      <c r="G30" s="94">
        <f t="shared" si="5"/>
        <v>-0.13390549102234575</v>
      </c>
      <c r="H30" s="96"/>
      <c r="I30" s="63"/>
      <c r="J30" s="64"/>
      <c r="K30" s="65"/>
      <c r="L30" s="65"/>
    </row>
    <row r="31" spans="1:13" ht="18.75" thickBot="1">
      <c r="A31" s="63">
        <f t="shared" si="14"/>
        <v>-6.1999999999999993</v>
      </c>
      <c r="B31" s="59">
        <f t="shared" si="10"/>
        <v>0.13</v>
      </c>
      <c r="C31" s="4">
        <f t="shared" si="11"/>
        <v>0.79383886255924185</v>
      </c>
      <c r="D31" s="4">
        <f t="shared" si="1"/>
        <v>0.98341232227488162</v>
      </c>
      <c r="E31" s="19">
        <f t="shared" si="12"/>
        <v>1527.6319040452822</v>
      </c>
      <c r="F31" s="19">
        <f t="shared" si="13"/>
        <v>-11688.507109004742</v>
      </c>
      <c r="G31" s="94">
        <f t="shared" si="5"/>
        <v>-0.13069521109914931</v>
      </c>
      <c r="H31" s="98"/>
      <c r="I31" s="66"/>
      <c r="J31" s="67"/>
      <c r="K31" s="68"/>
      <c r="L31" s="68"/>
      <c r="M31" s="52" t="s">
        <v>29</v>
      </c>
    </row>
    <row r="32" spans="1:13">
      <c r="A32" s="63">
        <f t="shared" si="14"/>
        <v>-6.4999999999999991</v>
      </c>
      <c r="B32" s="59">
        <f t="shared" si="10"/>
        <v>0.13</v>
      </c>
      <c r="C32" s="4">
        <f t="shared" si="11"/>
        <v>0.75791855203619929</v>
      </c>
      <c r="D32" s="4">
        <f t="shared" si="1"/>
        <v>0.98416289592760187</v>
      </c>
      <c r="E32" s="19">
        <f t="shared" si="12"/>
        <v>1536.1397186789789</v>
      </c>
      <c r="F32" s="19">
        <f t="shared" si="13"/>
        <v>-12064.592760180996</v>
      </c>
      <c r="G32" s="94">
        <f t="shared" si="5"/>
        <v>-0.12732628023292958</v>
      </c>
      <c r="H32" s="96"/>
      <c r="I32" s="63"/>
      <c r="J32" s="64"/>
      <c r="K32" s="65"/>
      <c r="L32" s="65"/>
    </row>
    <row r="33" spans="1:13">
      <c r="A33" s="63">
        <f t="shared" si="14"/>
        <v>-6.7999999999999989</v>
      </c>
      <c r="B33" s="59">
        <f t="shared" si="10"/>
        <v>0.13</v>
      </c>
      <c r="C33" s="4">
        <f t="shared" si="11"/>
        <v>0.72510822510822526</v>
      </c>
      <c r="D33" s="4">
        <f t="shared" si="1"/>
        <v>0.98484848484848486</v>
      </c>
      <c r="E33" s="19">
        <f t="shared" si="12"/>
        <v>1537.4805569610767</v>
      </c>
      <c r="F33" s="19">
        <f t="shared" si="13"/>
        <v>-12408.116883116882</v>
      </c>
      <c r="G33" s="94">
        <f t="shared" si="5"/>
        <v>-0.12390925806421532</v>
      </c>
      <c r="H33" s="96"/>
      <c r="I33" s="63"/>
      <c r="J33" s="64"/>
      <c r="K33" s="65"/>
      <c r="L33" s="65"/>
    </row>
    <row r="34" spans="1:13" ht="17.25" thickBot="1">
      <c r="A34" s="63">
        <f t="shared" si="14"/>
        <v>-7.0999999999999988</v>
      </c>
      <c r="B34" s="59">
        <f t="shared" si="10"/>
        <v>0.13</v>
      </c>
      <c r="C34" s="4">
        <f t="shared" si="11"/>
        <v>0.695020746887967</v>
      </c>
      <c r="D34" s="4">
        <f t="shared" si="1"/>
        <v>0.98547717842323657</v>
      </c>
      <c r="E34" s="19">
        <f t="shared" si="12"/>
        <v>1533.3138203543328</v>
      </c>
      <c r="F34" s="19">
        <f t="shared" si="13"/>
        <v>-12723.132780082989</v>
      </c>
      <c r="G34" s="94">
        <f t="shared" si="5"/>
        <v>-0.12051385824995937</v>
      </c>
      <c r="H34" s="97" t="s">
        <v>6</v>
      </c>
      <c r="I34" s="66"/>
      <c r="J34" s="67"/>
      <c r="K34" s="68"/>
      <c r="L34" s="68"/>
    </row>
    <row r="35" spans="1:13" ht="16.5">
      <c r="A35" s="63">
        <f>A34+($C$2-$D$2)*0.1</f>
        <v>-7.3999999999999986</v>
      </c>
      <c r="B35" s="59">
        <f t="shared" si="10"/>
        <v>0.13</v>
      </c>
      <c r="C35" s="4">
        <f t="shared" si="11"/>
        <v>0.66733067729083684</v>
      </c>
      <c r="D35" s="4">
        <f t="shared" si="1"/>
        <v>0.98605577689243029</v>
      </c>
      <c r="E35" s="19">
        <f t="shared" si="12"/>
        <v>1524.9170648084955</v>
      </c>
      <c r="F35" s="19">
        <f t="shared" si="13"/>
        <v>-13013.047808764939</v>
      </c>
      <c r="G35" s="94">
        <f t="shared" si="5"/>
        <v>-0.11718369802509966</v>
      </c>
      <c r="H35" s="96"/>
      <c r="I35" s="49" t="s">
        <v>14</v>
      </c>
      <c r="J35" s="49" t="s">
        <v>17</v>
      </c>
      <c r="K35" s="1"/>
      <c r="L35" s="50" t="s">
        <v>19</v>
      </c>
      <c r="M35" s="51" t="s">
        <v>21</v>
      </c>
    </row>
    <row r="36" spans="1:13">
      <c r="A36" s="63">
        <f t="shared" si="14"/>
        <v>-7.6999999999999984</v>
      </c>
      <c r="B36" s="59">
        <f t="shared" si="10"/>
        <v>0.13</v>
      </c>
      <c r="C36" s="4">
        <f t="shared" si="11"/>
        <v>0.64176245210727989</v>
      </c>
      <c r="D36" s="4">
        <f t="shared" si="1"/>
        <v>0.98659003831417635</v>
      </c>
      <c r="E36" s="19">
        <f t="shared" si="12"/>
        <v>1513.280779788905</v>
      </c>
      <c r="F36" s="19">
        <f t="shared" si="13"/>
        <v>-13280.747126436781</v>
      </c>
      <c r="G36" s="94">
        <f t="shared" si="5"/>
        <v>-0.11394545543123503</v>
      </c>
      <c r="H36" s="96"/>
    </row>
    <row r="37" spans="1:13" ht="13.5" thickBot="1">
      <c r="A37" s="66">
        <f t="shared" si="14"/>
        <v>-7.9999999999999982</v>
      </c>
      <c r="B37" s="60">
        <f t="shared" si="10"/>
        <v>0.13</v>
      </c>
      <c r="C37" s="8">
        <f t="shared" si="11"/>
        <v>0.61808118081180818</v>
      </c>
      <c r="D37" s="8">
        <f t="shared" si="1"/>
        <v>0.98708487084870844</v>
      </c>
      <c r="E37" s="20">
        <f t="shared" si="12"/>
        <v>1499.1775711115051</v>
      </c>
      <c r="F37" s="20">
        <f t="shared" si="13"/>
        <v>-13528.690036900369</v>
      </c>
      <c r="G37" s="94">
        <f t="shared" si="5"/>
        <v>-0.11081468841568565</v>
      </c>
      <c r="H37" s="96"/>
    </row>
    <row r="38" spans="1:13">
      <c r="A38" s="103">
        <f>$C$2</f>
        <v>-8</v>
      </c>
      <c r="B38" s="11">
        <f>+F2</f>
        <v>0.13</v>
      </c>
      <c r="C38" s="4">
        <f>($E$2-$D$2)/(-A38+B38)</f>
        <v>0.61808118081180807</v>
      </c>
      <c r="D38" s="10">
        <f>(-B38+$D$2)/(A38-B38)</f>
        <v>0.63099630996309952</v>
      </c>
      <c r="E38" s="21">
        <f>(($E$2-$D$2)*C38/2*(-0.5+D38-C38/3)+$D$2*D38*(-0.5+D38/2)+$E$2*(1-D38)*D38/2)*$G$2*$H$2*$I$2*$I$2</f>
        <v>1499.1775711115042</v>
      </c>
      <c r="F38" s="19">
        <f>($D$2*(1-D38)+$E$2*D38+(-$E$2+$D$2)*C38/2)*$G$2*$H$2*$I$2</f>
        <v>-13528.690036900371</v>
      </c>
      <c r="G38" s="94">
        <f t="shared" si="5"/>
        <v>-0.11081468841568556</v>
      </c>
      <c r="H38" s="95" t="s">
        <v>45</v>
      </c>
    </row>
    <row r="39" spans="1:13" ht="18.75" thickBot="1">
      <c r="A39" s="103">
        <f t="shared" ref="A39:A48" si="15">$C$2</f>
        <v>-8</v>
      </c>
      <c r="B39" s="11">
        <f>B38-($F$2-$E$2)*0.1</f>
        <v>0.1195</v>
      </c>
      <c r="C39" s="4">
        <f>($E$2-$D$2)/(-A39+B39)</f>
        <v>0.61888047293552562</v>
      </c>
      <c r="D39" s="10">
        <f>(-B39+$D$2)/(A39-B39)</f>
        <v>0.63051912063550708</v>
      </c>
      <c r="E39" s="21">
        <f t="shared" ref="E39:E48" si="16">(($E$2-$D$2)*C39/2*(-0.5+D39-C39/3)+$D$2*D39*(-0.5+D39/2)+$E$2*(1-D39)*D39/2)*$G$2*$H$2*$I$2*$I$2</f>
        <v>1495.9986271938951</v>
      </c>
      <c r="F39" s="19">
        <f t="shared" ref="F39:F48" si="17">($D$2*(1-D39)+$E$2*D39+(-$E$2+$D$2)*C39/2)*$G$2*$H$2*$I$2</f>
        <v>-13546.314428228345</v>
      </c>
      <c r="G39" s="94">
        <f t="shared" si="5"/>
        <v>-0.11043584106363825</v>
      </c>
      <c r="H39" s="96"/>
      <c r="J39" s="35"/>
      <c r="K39" s="48" t="s">
        <v>28</v>
      </c>
    </row>
    <row r="40" spans="1:13" ht="16.5">
      <c r="A40" s="103">
        <f t="shared" si="15"/>
        <v>-8</v>
      </c>
      <c r="B40" s="11">
        <f t="shared" ref="B40:B48" si="18">B39-($F$2-$E$2)*0.1</f>
        <v>0.10899999999999999</v>
      </c>
      <c r="C40" s="4">
        <f t="shared" ref="C40:C48" si="19">($E$2-$D$2)/(-A40+B40)</f>
        <v>0.61968183499815022</v>
      </c>
      <c r="D40" s="10">
        <f t="shared" ref="D40:D48" si="20">(-B40+$D$2)/(A40-B40)</f>
        <v>0.6300406955234924</v>
      </c>
      <c r="E40" s="21">
        <f t="shared" si="16"/>
        <v>1492.7981802874783</v>
      </c>
      <c r="F40" s="19">
        <f t="shared" si="17"/>
        <v>-13563.984461709215</v>
      </c>
      <c r="G40" s="94">
        <f t="shared" si="5"/>
        <v>-0.11005602258699203</v>
      </c>
      <c r="H40" s="97" t="s">
        <v>10</v>
      </c>
      <c r="I40" s="69"/>
      <c r="J40" s="69"/>
      <c r="K40" s="69"/>
      <c r="L40" s="70"/>
    </row>
    <row r="41" spans="1:13">
      <c r="A41" s="103">
        <f t="shared" si="15"/>
        <v>-8</v>
      </c>
      <c r="B41" s="11">
        <f t="shared" si="18"/>
        <v>9.8499999999999976E-2</v>
      </c>
      <c r="C41" s="4">
        <f t="shared" si="19"/>
        <v>0.62048527505093543</v>
      </c>
      <c r="D41" s="10">
        <f t="shared" si="20"/>
        <v>0.62956102982033713</v>
      </c>
      <c r="E41" s="21">
        <f t="shared" si="16"/>
        <v>1489.5760950703248</v>
      </c>
      <c r="F41" s="19">
        <f t="shared" si="17"/>
        <v>-13581.700314873126</v>
      </c>
      <c r="G41" s="94">
        <f t="shared" si="5"/>
        <v>-0.10967522920816558</v>
      </c>
      <c r="H41" s="96"/>
      <c r="I41" s="71"/>
      <c r="J41" s="72"/>
      <c r="K41" s="73"/>
      <c r="L41" s="73"/>
    </row>
    <row r="42" spans="1:13" ht="18.75" thickBot="1">
      <c r="A42" s="103">
        <f t="shared" si="15"/>
        <v>-8</v>
      </c>
      <c r="B42" s="11">
        <f t="shared" si="18"/>
        <v>8.7999999999999967E-2</v>
      </c>
      <c r="C42" s="4">
        <f t="shared" si="19"/>
        <v>0.62129080118694369</v>
      </c>
      <c r="D42" s="10">
        <f t="shared" si="20"/>
        <v>0.62908011869436209</v>
      </c>
      <c r="E42" s="21">
        <f t="shared" si="16"/>
        <v>1486.3322352490559</v>
      </c>
      <c r="F42" s="19">
        <f t="shared" si="17"/>
        <v>-13599.462166172107</v>
      </c>
      <c r="G42" s="94">
        <f t="shared" si="5"/>
        <v>-0.10929345712996087</v>
      </c>
      <c r="H42" s="98"/>
      <c r="I42" s="74"/>
      <c r="J42" s="75"/>
      <c r="K42" s="76"/>
      <c r="L42" s="76"/>
      <c r="M42" s="52" t="s">
        <v>29</v>
      </c>
    </row>
    <row r="43" spans="1:13">
      <c r="A43" s="103">
        <f t="shared" si="15"/>
        <v>-8</v>
      </c>
      <c r="B43" s="11">
        <f t="shared" si="18"/>
        <v>7.7499999999999958E-2</v>
      </c>
      <c r="C43" s="4">
        <f t="shared" si="19"/>
        <v>0.62209842154131845</v>
      </c>
      <c r="D43" s="10">
        <f t="shared" si="20"/>
        <v>0.628597957288765</v>
      </c>
      <c r="E43" s="21">
        <f t="shared" si="16"/>
        <v>1483.0664635507865</v>
      </c>
      <c r="F43" s="19">
        <f t="shared" si="17"/>
        <v>-13617.270194986077</v>
      </c>
      <c r="G43" s="94">
        <f t="shared" si="5"/>
        <v>-0.10891070253543594</v>
      </c>
      <c r="H43" s="96"/>
      <c r="I43" s="71"/>
      <c r="J43" s="72"/>
      <c r="K43" s="73"/>
      <c r="L43" s="73"/>
    </row>
    <row r="44" spans="1:13">
      <c r="A44" s="103">
        <f t="shared" si="15"/>
        <v>-8</v>
      </c>
      <c r="B44" s="11">
        <f t="shared" si="18"/>
        <v>6.6999999999999948E-2</v>
      </c>
      <c r="C44" s="4">
        <f t="shared" si="19"/>
        <v>0.62290814429155827</v>
      </c>
      <c r="D44" s="10">
        <f t="shared" si="20"/>
        <v>0.62811454072145778</v>
      </c>
      <c r="E44" s="21">
        <f t="shared" si="16"/>
        <v>1479.7786417149823</v>
      </c>
      <c r="F44" s="19">
        <f t="shared" si="17"/>
        <v>-13635.124581628857</v>
      </c>
      <c r="G44" s="94">
        <f t="shared" si="5"/>
        <v>-0.10852696158777651</v>
      </c>
      <c r="H44" s="96"/>
      <c r="I44" s="71"/>
      <c r="J44" s="72"/>
      <c r="K44" s="73"/>
      <c r="L44" s="73"/>
    </row>
    <row r="45" spans="1:13" ht="17.25" thickBot="1">
      <c r="A45" s="103">
        <f t="shared" si="15"/>
        <v>-8</v>
      </c>
      <c r="B45" s="11">
        <f t="shared" si="18"/>
        <v>5.6499999999999946E-2</v>
      </c>
      <c r="C45" s="4">
        <f t="shared" si="19"/>
        <v>0.62371997765779186</v>
      </c>
      <c r="D45" s="10">
        <f t="shared" si="20"/>
        <v>0.6276298640849004</v>
      </c>
      <c r="E45" s="21">
        <f t="shared" si="16"/>
        <v>1476.4686304852448</v>
      </c>
      <c r="F45" s="19">
        <f t="shared" si="17"/>
        <v>-13653.025507354312</v>
      </c>
      <c r="G45" s="94">
        <f t="shared" si="5"/>
        <v>-0.10814223043016606</v>
      </c>
      <c r="H45" s="97" t="s">
        <v>6</v>
      </c>
      <c r="I45" s="74"/>
      <c r="J45" s="75"/>
      <c r="K45" s="76"/>
      <c r="L45" s="76"/>
    </row>
    <row r="46" spans="1:13" ht="16.5">
      <c r="A46" s="103">
        <f t="shared" si="15"/>
        <v>-8</v>
      </c>
      <c r="B46" s="11">
        <f t="shared" si="18"/>
        <v>4.5999999999999944E-2</v>
      </c>
      <c r="C46" s="4">
        <f t="shared" si="19"/>
        <v>0.62453392990305756</v>
      </c>
      <c r="D46" s="10">
        <f t="shared" si="20"/>
        <v>0.62714392244593598</v>
      </c>
      <c r="E46" s="21">
        <f t="shared" si="16"/>
        <v>1473.1362896010135</v>
      </c>
      <c r="F46" s="19">
        <f t="shared" si="17"/>
        <v>-13670.973154362417</v>
      </c>
      <c r="G46" s="94">
        <f t="shared" si="5"/>
        <v>-0.10775650518565569</v>
      </c>
      <c r="H46" s="96"/>
      <c r="I46" s="49" t="s">
        <v>14</v>
      </c>
      <c r="J46" s="49" t="s">
        <v>17</v>
      </c>
      <c r="K46" s="1"/>
      <c r="L46" s="50" t="s">
        <v>19</v>
      </c>
      <c r="M46" s="51" t="s">
        <v>21</v>
      </c>
    </row>
    <row r="47" spans="1:13">
      <c r="A47" s="103">
        <f t="shared" si="15"/>
        <v>-8</v>
      </c>
      <c r="B47" s="11">
        <f t="shared" si="18"/>
        <v>3.5499999999999941E-2</v>
      </c>
      <c r="C47" s="4">
        <f t="shared" si="19"/>
        <v>0.6253500093335822</v>
      </c>
      <c r="D47" s="10">
        <f t="shared" si="20"/>
        <v>0.62665671084562247</v>
      </c>
      <c r="E47" s="21">
        <f t="shared" si="16"/>
        <v>1469.7814777891926</v>
      </c>
      <c r="F47" s="19">
        <f t="shared" si="17"/>
        <v>-13688.967705805489</v>
      </c>
      <c r="G47" s="94">
        <f t="shared" si="5"/>
        <v>-0.10736978195703234</v>
      </c>
      <c r="H47" s="96"/>
    </row>
    <row r="48" spans="1:13" ht="13.5" thickBot="1">
      <c r="A48" s="104">
        <f t="shared" si="15"/>
        <v>-8</v>
      </c>
      <c r="B48" s="14">
        <f t="shared" si="18"/>
        <v>2.4999999999999939E-2</v>
      </c>
      <c r="C48" s="8">
        <f t="shared" si="19"/>
        <v>0.62616822429906549</v>
      </c>
      <c r="D48" s="8">
        <f t="shared" si="20"/>
        <v>0.62616822429906549</v>
      </c>
      <c r="E48" s="20">
        <f t="shared" si="16"/>
        <v>1466.4040527556992</v>
      </c>
      <c r="F48" s="20">
        <f t="shared" si="17"/>
        <v>-13707.009345794395</v>
      </c>
      <c r="G48" s="94">
        <f t="shared" si="5"/>
        <v>-0.10698205682668653</v>
      </c>
      <c r="H48" s="96"/>
    </row>
    <row r="49" spans="1:13">
      <c r="A49" s="105">
        <f>$C$2</f>
        <v>-8</v>
      </c>
      <c r="B49" s="13">
        <f>+E2</f>
        <v>2.5000000000000001E-2</v>
      </c>
      <c r="C49" s="54"/>
      <c r="D49" s="4">
        <f>(-B49+$D$2)/(A49-B49)</f>
        <v>0.62616822429906549</v>
      </c>
      <c r="E49" s="21">
        <f>(B49-$D$2)*D49/2*$G$2*(0.5-D49/3)*$H$2*$I$2*$I$2</f>
        <v>1466.4040527556995</v>
      </c>
      <c r="F49" s="19">
        <f>($D$2+(+B49-$D$2)*D49/2)*$G$2*$H$2*$I$2</f>
        <v>-13707.009345794391</v>
      </c>
      <c r="G49" s="94">
        <f t="shared" si="5"/>
        <v>-0.10698205682668657</v>
      </c>
      <c r="H49" s="95" t="s">
        <v>46</v>
      </c>
    </row>
    <row r="50" spans="1:13" ht="18.75" thickBot="1">
      <c r="A50" s="103">
        <f t="shared" ref="A50:A59" si="21">$C$2</f>
        <v>-8</v>
      </c>
      <c r="B50" s="11">
        <f>B49-$E$2*0.1</f>
        <v>2.2499999999999999E-2</v>
      </c>
      <c r="C50" s="55"/>
      <c r="D50" s="4">
        <f t="shared" ref="D50:D59" si="22">(-B50+$D$2)/(A50-B50)</f>
        <v>0.62605172951075094</v>
      </c>
      <c r="E50" s="21">
        <f t="shared" ref="E50:E58" si="23">(B50-$D$2)*D50/2*$G$2*(0.5-D50/3)*$H$2*$I$2*$I$2</f>
        <v>1465.5971785621769</v>
      </c>
      <c r="F50" s="19">
        <f t="shared" ref="F50:F58" si="24">($D$2+(+B50-$D$2)*D50/2)*$G$2*$H$2*$I$2</f>
        <v>-13711.310377064508</v>
      </c>
      <c r="G50" s="94">
        <f t="shared" si="5"/>
        <v>-0.10688965082533203</v>
      </c>
      <c r="H50" s="96"/>
      <c r="J50" s="35"/>
      <c r="K50" s="48" t="s">
        <v>28</v>
      </c>
    </row>
    <row r="51" spans="1:13" ht="16.5">
      <c r="A51" s="103">
        <f t="shared" si="21"/>
        <v>-8</v>
      </c>
      <c r="B51" s="11">
        <f t="shared" ref="B51:B59" si="25">B50-$E$2*0.1</f>
        <v>1.9999999999999997E-2</v>
      </c>
      <c r="C51" s="55"/>
      <c r="D51" s="4">
        <f t="shared" si="22"/>
        <v>0.62593516209476308</v>
      </c>
      <c r="E51" s="21">
        <f t="shared" si="23"/>
        <v>1464.7902604254118</v>
      </c>
      <c r="F51" s="19">
        <f t="shared" si="24"/>
        <v>-13715.61097256858</v>
      </c>
      <c r="G51" s="94">
        <f t="shared" si="5"/>
        <v>-0.10679730296776524</v>
      </c>
      <c r="H51" s="97" t="s">
        <v>10</v>
      </c>
      <c r="I51" s="69"/>
      <c r="J51" s="69"/>
      <c r="K51" s="69"/>
      <c r="L51" s="70"/>
    </row>
    <row r="52" spans="1:13">
      <c r="A52" s="103">
        <f t="shared" si="21"/>
        <v>-8</v>
      </c>
      <c r="B52" s="11">
        <f t="shared" si="25"/>
        <v>1.7499999999999995E-2</v>
      </c>
      <c r="C52" s="55"/>
      <c r="D52" s="4">
        <f t="shared" si="22"/>
        <v>0.62581852198316179</v>
      </c>
      <c r="E52" s="21">
        <f t="shared" si="23"/>
        <v>1463.9832983449733</v>
      </c>
      <c r="F52" s="19">
        <f t="shared" si="24"/>
        <v>-13719.911131898973</v>
      </c>
      <c r="G52" s="94">
        <f t="shared" si="5"/>
        <v>-0.10670501319364911</v>
      </c>
      <c r="H52" s="96"/>
      <c r="I52" s="71"/>
      <c r="J52" s="72"/>
      <c r="K52" s="73"/>
      <c r="L52" s="73"/>
    </row>
    <row r="53" spans="1:13" ht="18.75" thickBot="1">
      <c r="A53" s="103">
        <f t="shared" si="21"/>
        <v>-8</v>
      </c>
      <c r="B53" s="11">
        <f t="shared" si="25"/>
        <v>1.4999999999999994E-2</v>
      </c>
      <c r="C53" s="55"/>
      <c r="D53" s="4">
        <f t="shared" si="22"/>
        <v>0.62570180910792261</v>
      </c>
      <c r="E53" s="21">
        <f t="shared" si="23"/>
        <v>1463.176292320479</v>
      </c>
      <c r="F53" s="19">
        <f t="shared" si="24"/>
        <v>-13724.210854647539</v>
      </c>
      <c r="G53" s="94">
        <f t="shared" si="5"/>
        <v>-0.10661278144272987</v>
      </c>
      <c r="H53" s="98"/>
      <c r="I53" s="74"/>
      <c r="J53" s="75"/>
      <c r="K53" s="76"/>
      <c r="L53" s="76"/>
      <c r="M53" s="52" t="s">
        <v>29</v>
      </c>
    </row>
    <row r="54" spans="1:13">
      <c r="A54" s="103">
        <f t="shared" si="21"/>
        <v>-8</v>
      </c>
      <c r="B54" s="11">
        <f t="shared" si="25"/>
        <v>1.2499999999999994E-2</v>
      </c>
      <c r="C54" s="55"/>
      <c r="D54" s="4">
        <f t="shared" si="22"/>
        <v>0.62558502340093614</v>
      </c>
      <c r="E54" s="21">
        <f t="shared" si="23"/>
        <v>1462.3692423515977</v>
      </c>
      <c r="F54" s="19">
        <f t="shared" si="24"/>
        <v>-13728.510140405617</v>
      </c>
      <c r="G54" s="94">
        <f t="shared" si="5"/>
        <v>-0.10652060765483698</v>
      </c>
      <c r="H54" s="96"/>
      <c r="I54" s="71"/>
      <c r="J54" s="72"/>
      <c r="K54" s="73"/>
      <c r="L54" s="73"/>
    </row>
    <row r="55" spans="1:13">
      <c r="A55" s="103">
        <f t="shared" si="21"/>
        <v>-8</v>
      </c>
      <c r="B55" s="11">
        <f t="shared" si="25"/>
        <v>9.9999999999999933E-3</v>
      </c>
      <c r="C55" s="55"/>
      <c r="D55" s="4">
        <f t="shared" si="22"/>
        <v>0.62546816479400746</v>
      </c>
      <c r="E55" s="21">
        <f t="shared" si="23"/>
        <v>1461.5621484380481</v>
      </c>
      <c r="F55" s="19">
        <f t="shared" si="24"/>
        <v>-13732.808988764045</v>
      </c>
      <c r="G55" s="94">
        <f t="shared" si="5"/>
        <v>-0.10642849176988289</v>
      </c>
      <c r="H55" s="96"/>
      <c r="I55" s="71"/>
      <c r="J55" s="72"/>
      <c r="K55" s="73"/>
      <c r="L55" s="73"/>
    </row>
    <row r="56" spans="1:13" ht="17.25" thickBot="1">
      <c r="A56" s="103">
        <f t="shared" si="21"/>
        <v>-8</v>
      </c>
      <c r="B56" s="11">
        <f t="shared" si="25"/>
        <v>7.4999999999999928E-3</v>
      </c>
      <c r="C56" s="55"/>
      <c r="D56" s="4">
        <f t="shared" si="22"/>
        <v>0.62535123321885733</v>
      </c>
      <c r="E56" s="21">
        <f t="shared" si="23"/>
        <v>1460.7550105796008</v>
      </c>
      <c r="F56" s="19">
        <f t="shared" si="24"/>
        <v>-13737.107399313143</v>
      </c>
      <c r="G56" s="94">
        <f t="shared" si="5"/>
        <v>-0.10633643372786317</v>
      </c>
      <c r="H56" s="97" t="s">
        <v>6</v>
      </c>
      <c r="I56" s="74"/>
      <c r="J56" s="75"/>
      <c r="K56" s="76"/>
      <c r="L56" s="76"/>
    </row>
    <row r="57" spans="1:13" ht="16.5">
      <c r="A57" s="103">
        <f t="shared" si="21"/>
        <v>-8</v>
      </c>
      <c r="B57" s="11">
        <f t="shared" si="25"/>
        <v>4.9999999999999923E-3</v>
      </c>
      <c r="C57" s="55"/>
      <c r="D57" s="4">
        <f t="shared" si="22"/>
        <v>0.62523422860712052</v>
      </c>
      <c r="E57" s="21">
        <f t="shared" si="23"/>
        <v>1459.947828776076</v>
      </c>
      <c r="F57" s="19">
        <f t="shared" si="24"/>
        <v>-13741.405371642724</v>
      </c>
      <c r="G57" s="94">
        <f t="shared" si="5"/>
        <v>-0.10624443346885601</v>
      </c>
      <c r="H57" s="96"/>
      <c r="I57" s="49" t="s">
        <v>14</v>
      </c>
      <c r="J57" s="49" t="s">
        <v>17</v>
      </c>
      <c r="K57" s="1"/>
      <c r="L57" s="50" t="s">
        <v>19</v>
      </c>
      <c r="M57" s="51" t="s">
        <v>21</v>
      </c>
    </row>
    <row r="58" spans="1:13">
      <c r="A58" s="103">
        <f t="shared" si="21"/>
        <v>-8</v>
      </c>
      <c r="B58" s="11">
        <f t="shared" si="25"/>
        <v>2.4999999999999918E-3</v>
      </c>
      <c r="C58" s="55"/>
      <c r="D58" s="4">
        <f t="shared" si="22"/>
        <v>0.62511715089034681</v>
      </c>
      <c r="E58" s="21">
        <f t="shared" si="23"/>
        <v>1459.1406030273463</v>
      </c>
      <c r="F58" s="19">
        <f t="shared" si="24"/>
        <v>-13745.702905342079</v>
      </c>
      <c r="G58" s="94">
        <f t="shared" si="5"/>
        <v>-0.10615249093302251</v>
      </c>
      <c r="H58" s="96"/>
    </row>
    <row r="59" spans="1:13" ht="13.5" thickBot="1">
      <c r="A59" s="104">
        <f t="shared" si="21"/>
        <v>-8</v>
      </c>
      <c r="B59" s="14">
        <f t="shared" si="25"/>
        <v>-8.6736173798840355E-18</v>
      </c>
      <c r="C59" s="56"/>
      <c r="D59" s="8">
        <f t="shared" si="22"/>
        <v>0.625</v>
      </c>
      <c r="E59" s="20">
        <f>(B59-$D$2)*D59/2*$G$2*(0.5-D59/3)*$H$2*$I$2*$I$2</f>
        <v>1458.3333333333333</v>
      </c>
      <c r="F59" s="20">
        <f>($D$2+(+B59-$D$2)*D59/2)*$G$2*$H$2*$I$2</f>
        <v>-13750</v>
      </c>
      <c r="G59" s="94">
        <f t="shared" si="5"/>
        <v>-0.10606060606060605</v>
      </c>
      <c r="H59" s="96"/>
    </row>
    <row r="60" spans="1:13">
      <c r="A60" s="71">
        <f>+$C$2</f>
        <v>-8</v>
      </c>
      <c r="B60" s="12">
        <v>0</v>
      </c>
      <c r="D60" s="4">
        <f>($D$2-B60)/(A60-B60)</f>
        <v>0.625</v>
      </c>
      <c r="E60" s="19">
        <f>(B60-$D$2)*D60/2*(0.5-D60/3)*$G$2*$H$2*$I$2*$I$2</f>
        <v>1458.3333333333333</v>
      </c>
      <c r="F60" s="19">
        <f>($D$2+(B60-$D$2)*D60/2)*$G$2*$H$2*$I$2</f>
        <v>-13750</v>
      </c>
      <c r="G60" s="94">
        <f t="shared" si="5"/>
        <v>-0.10606060606060605</v>
      </c>
      <c r="H60" s="95" t="s">
        <v>47</v>
      </c>
    </row>
    <row r="61" spans="1:13" ht="18.75" thickBot="1">
      <c r="A61" s="103">
        <f t="shared" ref="A61:A70" si="26">+$C$2</f>
        <v>-8</v>
      </c>
      <c r="B61" s="11">
        <f>B60+$D$2*0.1</f>
        <v>-0.5</v>
      </c>
      <c r="D61" s="4">
        <f t="shared" ref="D61:D70" si="27">($D$2-B61)/(A61-B61)</f>
        <v>0.6</v>
      </c>
      <c r="E61" s="19">
        <f t="shared" ref="E61:E70" si="28">(B61-$D$2)*D61/2*(0.5-D61/3)*$G$2*$H$2*$I$2*$I$2</f>
        <v>1296.0000000000002</v>
      </c>
      <c r="F61" s="19">
        <f t="shared" ref="F61:F70" si="29">($D$2+(B61-$D$2)*D61/2)*$G$2*$H$2*$I$2</f>
        <v>-14600</v>
      </c>
      <c r="G61" s="94">
        <f t="shared" si="5"/>
        <v>-8.8767123287671251E-2</v>
      </c>
      <c r="H61" s="96"/>
      <c r="J61" s="35"/>
      <c r="K61" s="48" t="s">
        <v>28</v>
      </c>
    </row>
    <row r="62" spans="1:13" ht="16.5">
      <c r="A62" s="103">
        <f t="shared" si="26"/>
        <v>-8</v>
      </c>
      <c r="B62" s="11">
        <f t="shared" ref="B62:B69" si="30">B61+$D$2*0.1</f>
        <v>-1</v>
      </c>
      <c r="D62" s="4">
        <f t="shared" si="27"/>
        <v>0.5714285714285714</v>
      </c>
      <c r="E62" s="19">
        <f t="shared" si="28"/>
        <v>1131.9727891156465</v>
      </c>
      <c r="F62" s="19">
        <f t="shared" si="29"/>
        <v>-15428.571428571429</v>
      </c>
      <c r="G62" s="94">
        <f t="shared" si="5"/>
        <v>-7.3368606701940051E-2</v>
      </c>
      <c r="H62" s="97" t="s">
        <v>10</v>
      </c>
      <c r="I62" s="69"/>
      <c r="J62" s="69"/>
      <c r="K62" s="69"/>
      <c r="L62" s="70"/>
    </row>
    <row r="63" spans="1:13">
      <c r="A63" s="103">
        <f t="shared" si="26"/>
        <v>-8</v>
      </c>
      <c r="B63" s="11">
        <f t="shared" si="30"/>
        <v>-1.5</v>
      </c>
      <c r="D63" s="4">
        <f t="shared" si="27"/>
        <v>0.53846153846153844</v>
      </c>
      <c r="E63" s="19">
        <f t="shared" si="28"/>
        <v>966.46942800788952</v>
      </c>
      <c r="F63" s="19">
        <f t="shared" si="29"/>
        <v>-16230.769230769232</v>
      </c>
      <c r="G63" s="94">
        <f t="shared" si="5"/>
        <v>-5.9545509782476601E-2</v>
      </c>
      <c r="H63" s="96"/>
      <c r="I63" s="71"/>
      <c r="J63" s="72"/>
      <c r="K63" s="73"/>
      <c r="L63" s="73"/>
    </row>
    <row r="64" spans="1:13" ht="18.75" thickBot="1">
      <c r="A64" s="103">
        <f t="shared" si="26"/>
        <v>-8</v>
      </c>
      <c r="B64" s="11">
        <f t="shared" si="30"/>
        <v>-2</v>
      </c>
      <c r="D64" s="4">
        <f t="shared" si="27"/>
        <v>0.5</v>
      </c>
      <c r="E64" s="19">
        <f t="shared" si="28"/>
        <v>800</v>
      </c>
      <c r="F64" s="19">
        <f t="shared" si="29"/>
        <v>-17000</v>
      </c>
      <c r="G64" s="94">
        <f t="shared" si="5"/>
        <v>-4.7058823529411764E-2</v>
      </c>
      <c r="H64" s="98"/>
      <c r="I64" s="74"/>
      <c r="J64" s="75"/>
      <c r="K64" s="76"/>
      <c r="L64" s="76"/>
      <c r="M64" s="52" t="s">
        <v>29</v>
      </c>
    </row>
    <row r="65" spans="1:23">
      <c r="A65" s="103">
        <f t="shared" si="26"/>
        <v>-8</v>
      </c>
      <c r="B65" s="11">
        <f t="shared" si="30"/>
        <v>-2.5</v>
      </c>
      <c r="D65" s="4">
        <f t="shared" si="27"/>
        <v>0.45454545454545453</v>
      </c>
      <c r="E65" s="19">
        <f t="shared" si="28"/>
        <v>633.60881542699724</v>
      </c>
      <c r="F65" s="19">
        <f t="shared" si="29"/>
        <v>-17727.272727272728</v>
      </c>
      <c r="G65" s="94">
        <f t="shared" si="5"/>
        <v>-3.5742035742035744E-2</v>
      </c>
      <c r="H65" s="96"/>
      <c r="I65" s="71"/>
      <c r="J65" s="72"/>
      <c r="K65" s="73"/>
      <c r="L65" s="73"/>
    </row>
    <row r="66" spans="1:23">
      <c r="A66" s="103">
        <f t="shared" si="26"/>
        <v>-8</v>
      </c>
      <c r="B66" s="11">
        <f t="shared" si="30"/>
        <v>-3</v>
      </c>
      <c r="D66" s="4">
        <f t="shared" si="27"/>
        <v>0.4</v>
      </c>
      <c r="E66" s="19">
        <f t="shared" si="28"/>
        <v>469.33333333333348</v>
      </c>
      <c r="F66" s="19">
        <f t="shared" si="29"/>
        <v>-18400</v>
      </c>
      <c r="G66" s="94">
        <f t="shared" si="5"/>
        <v>-2.5507246376811604E-2</v>
      </c>
      <c r="H66" s="96"/>
      <c r="I66" s="71"/>
      <c r="J66" s="72"/>
      <c r="K66" s="73"/>
      <c r="L66" s="73"/>
    </row>
    <row r="67" spans="1:23" ht="17.25" thickBot="1">
      <c r="A67" s="103">
        <f t="shared" si="26"/>
        <v>-8</v>
      </c>
      <c r="B67" s="11">
        <f t="shared" si="30"/>
        <v>-3.5</v>
      </c>
      <c r="D67" s="4">
        <f t="shared" si="27"/>
        <v>0.33333333333333331</v>
      </c>
      <c r="E67" s="19">
        <f t="shared" si="28"/>
        <v>311.11111111111114</v>
      </c>
      <c r="F67" s="19">
        <f t="shared" si="29"/>
        <v>-19000</v>
      </c>
      <c r="G67" s="94">
        <f t="shared" si="5"/>
        <v>-1.6374269005847954E-2</v>
      </c>
      <c r="H67" s="97" t="s">
        <v>6</v>
      </c>
      <c r="I67" s="74"/>
      <c r="J67" s="75"/>
      <c r="K67" s="76"/>
      <c r="L67" s="76"/>
      <c r="O67" s="55"/>
      <c r="P67" s="55"/>
      <c r="Q67" s="55"/>
      <c r="R67" s="55"/>
      <c r="S67" s="55"/>
      <c r="T67" s="55"/>
      <c r="U67" s="55"/>
      <c r="V67" s="55"/>
      <c r="W67" s="55"/>
    </row>
    <row r="68" spans="1:23" ht="16.5">
      <c r="A68" s="103">
        <f t="shared" si="26"/>
        <v>-8</v>
      </c>
      <c r="B68" s="11">
        <f t="shared" si="30"/>
        <v>-4</v>
      </c>
      <c r="D68" s="4">
        <f t="shared" si="27"/>
        <v>0.25</v>
      </c>
      <c r="E68" s="19">
        <f t="shared" si="28"/>
        <v>166.66666666666671</v>
      </c>
      <c r="F68" s="19">
        <f t="shared" si="29"/>
        <v>-19500</v>
      </c>
      <c r="G68" s="94">
        <f t="shared" si="5"/>
        <v>-8.5470085470085496E-3</v>
      </c>
      <c r="H68" s="96"/>
      <c r="I68" s="49" t="s">
        <v>14</v>
      </c>
      <c r="J68" s="49" t="s">
        <v>17</v>
      </c>
      <c r="K68" s="1"/>
      <c r="L68" s="50" t="s">
        <v>19</v>
      </c>
      <c r="M68" s="51" t="s">
        <v>21</v>
      </c>
      <c r="O68" s="55"/>
      <c r="P68" s="55"/>
      <c r="Q68" s="55"/>
      <c r="R68" s="55"/>
      <c r="S68" s="55"/>
      <c r="T68" s="55"/>
      <c r="U68" s="55"/>
      <c r="V68" s="55"/>
      <c r="W68" s="55"/>
    </row>
    <row r="69" spans="1:23">
      <c r="A69" s="103">
        <f t="shared" si="26"/>
        <v>-8</v>
      </c>
      <c r="B69" s="11">
        <f t="shared" si="30"/>
        <v>-4.5</v>
      </c>
      <c r="D69" s="4">
        <f t="shared" si="27"/>
        <v>0.14285714285714285</v>
      </c>
      <c r="E69" s="19">
        <f t="shared" si="28"/>
        <v>51.700680272108855</v>
      </c>
      <c r="F69" s="19">
        <f t="shared" si="29"/>
        <v>-19857.142857142859</v>
      </c>
      <c r="G69" s="94">
        <f t="shared" si="5"/>
        <v>-2.6036313806097984E-3</v>
      </c>
      <c r="H69" s="96"/>
      <c r="O69" s="57"/>
      <c r="P69" s="57"/>
      <c r="Q69" s="57"/>
      <c r="R69" s="57"/>
      <c r="S69" s="57"/>
      <c r="T69" s="57"/>
      <c r="U69" s="93"/>
      <c r="V69" s="93"/>
      <c r="W69" s="57"/>
    </row>
    <row r="70" spans="1:23" ht="13.5" thickBot="1">
      <c r="A70" s="104">
        <f t="shared" si="26"/>
        <v>-8</v>
      </c>
      <c r="B70" s="14">
        <f>B69+$D$2*0.1</f>
        <v>-5</v>
      </c>
      <c r="C70" s="7"/>
      <c r="D70" s="8">
        <f t="shared" si="27"/>
        <v>0</v>
      </c>
      <c r="E70" s="20">
        <f t="shared" si="28"/>
        <v>0</v>
      </c>
      <c r="F70" s="20">
        <f t="shared" si="29"/>
        <v>-20000</v>
      </c>
      <c r="G70" s="94">
        <f t="shared" si="5"/>
        <v>0</v>
      </c>
      <c r="H70" s="96"/>
      <c r="O70" s="55"/>
      <c r="P70" s="55"/>
      <c r="Q70" s="55"/>
      <c r="R70" s="55"/>
      <c r="S70" s="55"/>
      <c r="T70" s="55"/>
      <c r="U70" s="55"/>
      <c r="V70" s="101"/>
      <c r="W70" s="55"/>
    </row>
    <row r="71" spans="1:23" ht="13.5" thickBot="1">
      <c r="A71" s="102"/>
      <c r="B71" s="102"/>
      <c r="C71" s="87"/>
      <c r="D71" s="10"/>
      <c r="E71" s="21"/>
      <c r="F71" s="21"/>
      <c r="G71" s="91"/>
      <c r="H71" s="96"/>
      <c r="O71" s="55"/>
      <c r="P71" s="55"/>
      <c r="Q71" s="55"/>
      <c r="R71" s="55"/>
      <c r="S71" s="55"/>
      <c r="T71" s="55"/>
      <c r="U71" s="55"/>
      <c r="V71" s="101"/>
      <c r="W71" s="55"/>
    </row>
    <row r="72" spans="1:23" ht="18">
      <c r="A72" s="116" t="s">
        <v>6</v>
      </c>
      <c r="B72" s="117" t="s">
        <v>10</v>
      </c>
      <c r="C72" s="115" t="s">
        <v>14</v>
      </c>
      <c r="D72" s="115" t="s">
        <v>17</v>
      </c>
      <c r="E72" s="115" t="s">
        <v>19</v>
      </c>
      <c r="F72" s="115" t="s">
        <v>21</v>
      </c>
      <c r="G72" s="118" t="s">
        <v>23</v>
      </c>
      <c r="H72" s="118" t="s">
        <v>39</v>
      </c>
      <c r="I72" s="119" t="s">
        <v>25</v>
      </c>
      <c r="O72" s="55"/>
      <c r="P72" s="55"/>
      <c r="Q72" s="55"/>
      <c r="R72" s="55"/>
      <c r="S72" s="55"/>
      <c r="T72" s="55"/>
      <c r="U72" s="55"/>
      <c r="V72" s="101"/>
      <c r="W72" s="55"/>
    </row>
    <row r="73" spans="1:23" ht="13.5" thickBot="1">
      <c r="A73" s="120">
        <f t="shared" ref="A73:I73" si="31">+A2</f>
        <v>-100</v>
      </c>
      <c r="B73" s="121">
        <f t="shared" si="31"/>
        <v>0.5</v>
      </c>
      <c r="C73" s="121">
        <f t="shared" si="31"/>
        <v>-8</v>
      </c>
      <c r="D73" s="121">
        <f t="shared" si="31"/>
        <v>-5</v>
      </c>
      <c r="E73" s="121">
        <f t="shared" si="31"/>
        <v>2.5000000000000001E-2</v>
      </c>
      <c r="F73" s="121">
        <f t="shared" si="31"/>
        <v>0.13</v>
      </c>
      <c r="G73" s="130">
        <f t="shared" si="31"/>
        <v>20000</v>
      </c>
      <c r="H73" s="122">
        <f t="shared" si="31"/>
        <v>0.25</v>
      </c>
      <c r="I73" s="123">
        <f t="shared" si="31"/>
        <v>0.8</v>
      </c>
      <c r="O73" s="55"/>
      <c r="P73" s="55"/>
      <c r="Q73" s="55"/>
      <c r="R73" s="55"/>
      <c r="S73" s="55"/>
      <c r="T73" s="55"/>
      <c r="U73" s="55"/>
      <c r="V73" s="101"/>
      <c r="W73" s="55"/>
    </row>
    <row r="74" spans="1:23" ht="13.5" thickBot="1">
      <c r="A74" s="55"/>
      <c r="B74" s="55"/>
      <c r="C74" s="55"/>
      <c r="D74" s="55"/>
      <c r="E74" s="55"/>
      <c r="F74" s="55"/>
      <c r="G74" s="55"/>
      <c r="H74" s="101"/>
      <c r="I74" s="55"/>
      <c r="O74" s="55"/>
      <c r="P74" s="55"/>
      <c r="Q74" s="55"/>
      <c r="R74" s="55"/>
      <c r="S74" s="55"/>
      <c r="T74" s="55"/>
      <c r="U74" s="55"/>
      <c r="V74" s="101"/>
      <c r="W74" s="55"/>
    </row>
    <row r="75" spans="1:23" ht="18.75" thickBot="1">
      <c r="A75" s="115" t="s">
        <v>61</v>
      </c>
      <c r="B75" s="115" t="s">
        <v>62</v>
      </c>
      <c r="C75" s="113" t="s">
        <v>63</v>
      </c>
      <c r="D75" s="113" t="s">
        <v>64</v>
      </c>
      <c r="E75" s="113" t="s">
        <v>40</v>
      </c>
      <c r="F75" s="113" t="s">
        <v>41</v>
      </c>
      <c r="G75" s="114" t="s">
        <v>29</v>
      </c>
      <c r="H75" s="101"/>
      <c r="I75" s="55"/>
      <c r="O75" s="55"/>
      <c r="P75" s="55"/>
      <c r="Q75" s="55"/>
      <c r="R75" s="55"/>
      <c r="S75" s="55"/>
      <c r="T75" s="55"/>
      <c r="U75" s="55"/>
      <c r="V75" s="101"/>
      <c r="W75" s="55"/>
    </row>
    <row r="76" spans="1:23">
      <c r="A76" s="108">
        <f>+$D$2</f>
        <v>-5</v>
      </c>
      <c r="B76" s="106">
        <f>+$C$2</f>
        <v>-8</v>
      </c>
      <c r="C76" s="84"/>
      <c r="D76" s="91">
        <f>($D$2-A76)/(B76-A76)</f>
        <v>0</v>
      </c>
      <c r="E76" s="107">
        <f>(A76-$D$2)*D76/2*(-0.5+D76/3)*$G$2*$H$2*$I$2*$I$2</f>
        <v>0</v>
      </c>
      <c r="F76" s="107">
        <f>($D$2+(A76-$D$2)*D76/2)*$G$2*$H$2*$I$2</f>
        <v>-20000</v>
      </c>
      <c r="G76" s="94">
        <f t="shared" ref="G76:G139" si="32">E76/F76</f>
        <v>0</v>
      </c>
      <c r="H76" s="95" t="s">
        <v>48</v>
      </c>
    </row>
    <row r="77" spans="1:23" ht="18.75" thickBot="1">
      <c r="A77" s="109">
        <f>A76-$D$2*0.1</f>
        <v>-4.5</v>
      </c>
      <c r="B77" s="5">
        <f t="shared" ref="B77:B86" si="33">+$C$2</f>
        <v>-8</v>
      </c>
      <c r="D77" s="4">
        <f t="shared" ref="D77:D86" si="34">($D$2-A77)/(B77-A77)</f>
        <v>0.14285714285714285</v>
      </c>
      <c r="E77" s="19">
        <f t="shared" ref="E77:E86" si="35">(A77-$D$2)*D77/2*(-0.5+D77/3)*$G$2*$H$2*$I$2*$I$2</f>
        <v>-51.700680272108855</v>
      </c>
      <c r="F77" s="19">
        <f t="shared" ref="F77:F86" si="36">($D$2+(A77-$D$2)*D77/2)*$G$2*$H$2*$I$2</f>
        <v>-19857.142857142859</v>
      </c>
      <c r="G77" s="94">
        <f t="shared" si="32"/>
        <v>2.6036313806097984E-3</v>
      </c>
      <c r="H77" s="96"/>
      <c r="J77" s="35"/>
      <c r="K77" s="48" t="s">
        <v>28</v>
      </c>
    </row>
    <row r="78" spans="1:23" ht="16.5">
      <c r="A78" s="109">
        <f t="shared" ref="A78:A86" si="37">A77-$D$2*0.1</f>
        <v>-4</v>
      </c>
      <c r="B78" s="5">
        <f t="shared" si="33"/>
        <v>-8</v>
      </c>
      <c r="D78" s="4">
        <f t="shared" si="34"/>
        <v>0.25</v>
      </c>
      <c r="E78" s="19">
        <f t="shared" si="35"/>
        <v>-166.66666666666671</v>
      </c>
      <c r="F78" s="19">
        <f t="shared" si="36"/>
        <v>-19500</v>
      </c>
      <c r="G78" s="94">
        <f t="shared" si="32"/>
        <v>8.5470085470085496E-3</v>
      </c>
      <c r="H78" s="97" t="s">
        <v>10</v>
      </c>
      <c r="I78" s="37"/>
      <c r="J78" s="37"/>
      <c r="K78" s="37"/>
      <c r="L78" s="38"/>
    </row>
    <row r="79" spans="1:23">
      <c r="A79" s="109">
        <f t="shared" si="37"/>
        <v>-3.5</v>
      </c>
      <c r="B79" s="5">
        <f t="shared" si="33"/>
        <v>-8</v>
      </c>
      <c r="D79" s="4">
        <f t="shared" si="34"/>
        <v>0.33333333333333331</v>
      </c>
      <c r="E79" s="19">
        <f t="shared" si="35"/>
        <v>-311.11111111111114</v>
      </c>
      <c r="F79" s="19">
        <f t="shared" si="36"/>
        <v>-19000</v>
      </c>
      <c r="G79" s="94">
        <f t="shared" si="32"/>
        <v>1.6374269005847954E-2</v>
      </c>
      <c r="H79" s="96"/>
      <c r="I79" s="39"/>
      <c r="J79" s="40"/>
      <c r="K79" s="41"/>
      <c r="L79" s="41"/>
    </row>
    <row r="80" spans="1:23" ht="18.75" thickBot="1">
      <c r="A80" s="109">
        <f t="shared" si="37"/>
        <v>-3</v>
      </c>
      <c r="B80" s="5">
        <f t="shared" si="33"/>
        <v>-8</v>
      </c>
      <c r="D80" s="4">
        <f t="shared" si="34"/>
        <v>0.4</v>
      </c>
      <c r="E80" s="19">
        <f t="shared" si="35"/>
        <v>-469.33333333333348</v>
      </c>
      <c r="F80" s="19">
        <f t="shared" si="36"/>
        <v>-18400</v>
      </c>
      <c r="G80" s="94">
        <f t="shared" si="32"/>
        <v>2.5507246376811604E-2</v>
      </c>
      <c r="H80" s="98"/>
      <c r="I80" s="42"/>
      <c r="J80" s="43"/>
      <c r="K80" s="44"/>
      <c r="L80" s="44"/>
      <c r="M80" s="52" t="s">
        <v>29</v>
      </c>
    </row>
    <row r="81" spans="1:13">
      <c r="A81" s="109">
        <f t="shared" si="37"/>
        <v>-2.5</v>
      </c>
      <c r="B81" s="5">
        <f t="shared" si="33"/>
        <v>-8</v>
      </c>
      <c r="D81" s="4">
        <f t="shared" si="34"/>
        <v>0.45454545454545453</v>
      </c>
      <c r="E81" s="19">
        <f t="shared" si="35"/>
        <v>-633.60881542699724</v>
      </c>
      <c r="F81" s="19">
        <f t="shared" si="36"/>
        <v>-17727.272727272728</v>
      </c>
      <c r="G81" s="94">
        <f t="shared" si="32"/>
        <v>3.5742035742035744E-2</v>
      </c>
      <c r="H81" s="96"/>
      <c r="I81" s="39"/>
      <c r="J81" s="40"/>
      <c r="K81" s="41"/>
      <c r="L81" s="41"/>
    </row>
    <row r="82" spans="1:13">
      <c r="A82" s="109">
        <f t="shared" si="37"/>
        <v>-2</v>
      </c>
      <c r="B82" s="5">
        <f t="shared" si="33"/>
        <v>-8</v>
      </c>
      <c r="D82" s="4">
        <f t="shared" si="34"/>
        <v>0.5</v>
      </c>
      <c r="E82" s="19">
        <f t="shared" si="35"/>
        <v>-800</v>
      </c>
      <c r="F82" s="19">
        <f t="shared" si="36"/>
        <v>-17000</v>
      </c>
      <c r="G82" s="94">
        <f t="shared" si="32"/>
        <v>4.7058823529411764E-2</v>
      </c>
      <c r="H82" s="96"/>
      <c r="I82" s="39"/>
      <c r="J82" s="40"/>
      <c r="K82" s="41"/>
      <c r="L82" s="41"/>
    </row>
    <row r="83" spans="1:13" ht="17.25" thickBot="1">
      <c r="A83" s="109">
        <f t="shared" si="37"/>
        <v>-1.5</v>
      </c>
      <c r="B83" s="5">
        <f t="shared" si="33"/>
        <v>-8</v>
      </c>
      <c r="D83" s="4">
        <f t="shared" si="34"/>
        <v>0.53846153846153844</v>
      </c>
      <c r="E83" s="19">
        <f t="shared" si="35"/>
        <v>-966.46942800788952</v>
      </c>
      <c r="F83" s="19">
        <f t="shared" si="36"/>
        <v>-16230.769230769232</v>
      </c>
      <c r="G83" s="94">
        <f t="shared" si="32"/>
        <v>5.9545509782476601E-2</v>
      </c>
      <c r="H83" s="97" t="s">
        <v>6</v>
      </c>
      <c r="I83" s="42"/>
      <c r="J83" s="43"/>
      <c r="K83" s="44"/>
      <c r="L83" s="44"/>
    </row>
    <row r="84" spans="1:13" ht="16.5">
      <c r="A84" s="109">
        <f t="shared" si="37"/>
        <v>-1</v>
      </c>
      <c r="B84" s="5">
        <f t="shared" si="33"/>
        <v>-8</v>
      </c>
      <c r="D84" s="4">
        <f t="shared" si="34"/>
        <v>0.5714285714285714</v>
      </c>
      <c r="E84" s="19">
        <f t="shared" si="35"/>
        <v>-1131.9727891156465</v>
      </c>
      <c r="F84" s="19">
        <f t="shared" si="36"/>
        <v>-15428.571428571429</v>
      </c>
      <c r="G84" s="94">
        <f t="shared" si="32"/>
        <v>7.3368606701940051E-2</v>
      </c>
      <c r="H84" s="96"/>
      <c r="I84" s="49" t="s">
        <v>14</v>
      </c>
      <c r="J84" s="49" t="s">
        <v>17</v>
      </c>
      <c r="K84" s="1"/>
      <c r="L84" s="50" t="s">
        <v>19</v>
      </c>
      <c r="M84" s="51" t="s">
        <v>21</v>
      </c>
    </row>
    <row r="85" spans="1:13">
      <c r="A85" s="109">
        <f t="shared" si="37"/>
        <v>-0.5</v>
      </c>
      <c r="B85" s="5">
        <f t="shared" si="33"/>
        <v>-8</v>
      </c>
      <c r="D85" s="4">
        <f t="shared" si="34"/>
        <v>0.6</v>
      </c>
      <c r="E85" s="19">
        <f t="shared" si="35"/>
        <v>-1296.0000000000002</v>
      </c>
      <c r="F85" s="19">
        <f t="shared" si="36"/>
        <v>-14600</v>
      </c>
      <c r="G85" s="94">
        <f t="shared" si="32"/>
        <v>8.8767123287671251E-2</v>
      </c>
      <c r="H85" s="96"/>
    </row>
    <row r="86" spans="1:13" ht="13.5" thickBot="1">
      <c r="A86" s="110">
        <f t="shared" si="37"/>
        <v>0</v>
      </c>
      <c r="B86" s="6">
        <f t="shared" si="33"/>
        <v>-8</v>
      </c>
      <c r="C86" s="7"/>
      <c r="D86" s="8">
        <f t="shared" si="34"/>
        <v>0.625</v>
      </c>
      <c r="E86" s="20">
        <f t="shared" si="35"/>
        <v>-1458.3333333333333</v>
      </c>
      <c r="F86" s="20">
        <f t="shared" si="36"/>
        <v>-13750</v>
      </c>
      <c r="G86" s="94">
        <f t="shared" si="32"/>
        <v>0.10606060606060605</v>
      </c>
      <c r="H86" s="96"/>
    </row>
    <row r="87" spans="1:13">
      <c r="A87" s="109">
        <v>0</v>
      </c>
      <c r="B87" s="5">
        <f>$C$2</f>
        <v>-8</v>
      </c>
      <c r="D87" s="4">
        <f t="shared" ref="D87:D97" si="38">(-A87+$D$2)/(-A87+B87)</f>
        <v>0.625</v>
      </c>
      <c r="E87" s="19">
        <f>(A87-$D$2)*D87/2*$G$2*$H$2*$I$2*$I$2*(-0.5+D87/3)</f>
        <v>-1458.3333333333333</v>
      </c>
      <c r="F87" s="19">
        <f>($D$2+(+A87-$D$2)*D87/2)*$G$2*$H$2*$I$2</f>
        <v>-13750</v>
      </c>
      <c r="G87" s="94">
        <f t="shared" si="32"/>
        <v>0.10606060606060605</v>
      </c>
      <c r="H87" s="95" t="s">
        <v>49</v>
      </c>
    </row>
    <row r="88" spans="1:13" ht="18.75" thickBot="1">
      <c r="A88" s="109">
        <f>A87+$E$2*0.1</f>
        <v>2.5000000000000005E-3</v>
      </c>
      <c r="B88" s="5">
        <f t="shared" ref="B88:B97" si="39">$C$2</f>
        <v>-8</v>
      </c>
      <c r="D88" s="4">
        <f t="shared" si="38"/>
        <v>0.62511715089034681</v>
      </c>
      <c r="E88" s="19">
        <f t="shared" ref="E88:E97" si="40">(A88-$D$2)*D88/2*$G$2*$H$2*$I$2*$I$2*(-0.5+D88/3)</f>
        <v>-1459.1406030273463</v>
      </c>
      <c r="F88" s="19">
        <f t="shared" ref="F88:F97" si="41">($D$2+(+A88-$D$2)*D88/2)*$G$2*$H$2*$I$2</f>
        <v>-13745.702905342079</v>
      </c>
      <c r="G88" s="94">
        <f t="shared" si="32"/>
        <v>0.10615249093302251</v>
      </c>
      <c r="H88" s="96"/>
      <c r="J88" s="35"/>
      <c r="K88" s="48" t="s">
        <v>28</v>
      </c>
    </row>
    <row r="89" spans="1:13" ht="16.5">
      <c r="A89" s="109">
        <f t="shared" ref="A89:A97" si="42">A88+$E$2*0.1</f>
        <v>5.000000000000001E-3</v>
      </c>
      <c r="B89" s="5">
        <f t="shared" si="39"/>
        <v>-8</v>
      </c>
      <c r="D89" s="4">
        <f t="shared" si="38"/>
        <v>0.62523422860712052</v>
      </c>
      <c r="E89" s="19">
        <f t="shared" si="40"/>
        <v>-1459.9478287760764</v>
      </c>
      <c r="F89" s="19">
        <f t="shared" si="41"/>
        <v>-13741.405371642724</v>
      </c>
      <c r="G89" s="94">
        <f t="shared" si="32"/>
        <v>0.10624443346885604</v>
      </c>
      <c r="H89" s="97" t="s">
        <v>10</v>
      </c>
      <c r="I89" s="37"/>
      <c r="J89" s="37"/>
      <c r="K89" s="37"/>
      <c r="L89" s="38"/>
    </row>
    <row r="90" spans="1:13">
      <c r="A90" s="109">
        <f t="shared" si="42"/>
        <v>7.5000000000000015E-3</v>
      </c>
      <c r="B90" s="5">
        <f t="shared" si="39"/>
        <v>-8</v>
      </c>
      <c r="D90" s="4">
        <f t="shared" si="38"/>
        <v>0.62535123321885733</v>
      </c>
      <c r="E90" s="19">
        <f t="shared" si="40"/>
        <v>-1460.7550105796006</v>
      </c>
      <c r="F90" s="19">
        <f t="shared" si="41"/>
        <v>-13737.107399313143</v>
      </c>
      <c r="G90" s="94">
        <f t="shared" si="32"/>
        <v>0.10633643372786315</v>
      </c>
      <c r="H90" s="96"/>
      <c r="I90" s="39"/>
      <c r="J90" s="40"/>
      <c r="K90" s="41"/>
      <c r="L90" s="41"/>
    </row>
    <row r="91" spans="1:13" ht="18.75" thickBot="1">
      <c r="A91" s="109">
        <f t="shared" si="42"/>
        <v>1.0000000000000002E-2</v>
      </c>
      <c r="B91" s="5">
        <f t="shared" si="39"/>
        <v>-8</v>
      </c>
      <c r="D91" s="4">
        <f t="shared" si="38"/>
        <v>0.62546816479400746</v>
      </c>
      <c r="E91" s="19">
        <f t="shared" si="40"/>
        <v>-1461.5621484380481</v>
      </c>
      <c r="F91" s="19">
        <f t="shared" si="41"/>
        <v>-13732.808988764045</v>
      </c>
      <c r="G91" s="94">
        <f t="shared" si="32"/>
        <v>0.10642849176988289</v>
      </c>
      <c r="H91" s="98"/>
      <c r="I91" s="42"/>
      <c r="J91" s="43"/>
      <c r="K91" s="44"/>
      <c r="L91" s="44"/>
      <c r="M91" s="52" t="s">
        <v>29</v>
      </c>
    </row>
    <row r="92" spans="1:13">
      <c r="A92" s="109">
        <f t="shared" si="42"/>
        <v>1.2500000000000002E-2</v>
      </c>
      <c r="B92" s="5">
        <f t="shared" si="39"/>
        <v>-8</v>
      </c>
      <c r="D92" s="4">
        <f t="shared" si="38"/>
        <v>0.62558502340093614</v>
      </c>
      <c r="E92" s="19">
        <f t="shared" si="40"/>
        <v>-1462.3692423515974</v>
      </c>
      <c r="F92" s="19">
        <f t="shared" si="41"/>
        <v>-13728.510140405617</v>
      </c>
      <c r="G92" s="94">
        <f t="shared" si="32"/>
        <v>0.10652060765483697</v>
      </c>
      <c r="H92" s="96"/>
      <c r="I92" s="39"/>
      <c r="J92" s="40"/>
      <c r="K92" s="41"/>
      <c r="L92" s="41"/>
    </row>
    <row r="93" spans="1:13">
      <c r="A93" s="109">
        <f t="shared" si="42"/>
        <v>1.5000000000000003E-2</v>
      </c>
      <c r="B93" s="5">
        <f t="shared" si="39"/>
        <v>-8</v>
      </c>
      <c r="D93" s="4">
        <f t="shared" si="38"/>
        <v>0.62570180910792261</v>
      </c>
      <c r="E93" s="19">
        <f t="shared" si="40"/>
        <v>-1463.1762923204792</v>
      </c>
      <c r="F93" s="19">
        <f t="shared" si="41"/>
        <v>-13724.210854647539</v>
      </c>
      <c r="G93" s="94">
        <f t="shared" si="32"/>
        <v>0.10661278144272988</v>
      </c>
      <c r="H93" s="96"/>
      <c r="I93" s="39"/>
      <c r="J93" s="40"/>
      <c r="K93" s="41"/>
      <c r="L93" s="41"/>
    </row>
    <row r="94" spans="1:13" ht="17.25" thickBot="1">
      <c r="A94" s="109">
        <f t="shared" si="42"/>
        <v>1.7500000000000002E-2</v>
      </c>
      <c r="B94" s="5">
        <f t="shared" si="39"/>
        <v>-8</v>
      </c>
      <c r="D94" s="4">
        <f t="shared" si="38"/>
        <v>0.62581852198316179</v>
      </c>
      <c r="E94" s="19">
        <f t="shared" si="40"/>
        <v>-1463.9832983449733</v>
      </c>
      <c r="F94" s="19">
        <f t="shared" si="41"/>
        <v>-13719.911131898973</v>
      </c>
      <c r="G94" s="94">
        <f t="shared" si="32"/>
        <v>0.10670501319364911</v>
      </c>
      <c r="H94" s="97" t="s">
        <v>6</v>
      </c>
      <c r="I94" s="42"/>
      <c r="J94" s="43"/>
      <c r="K94" s="44"/>
      <c r="L94" s="44"/>
    </row>
    <row r="95" spans="1:13" ht="16.5">
      <c r="A95" s="109">
        <f t="shared" si="42"/>
        <v>2.0000000000000004E-2</v>
      </c>
      <c r="B95" s="5">
        <f t="shared" si="39"/>
        <v>-8</v>
      </c>
      <c r="D95" s="4">
        <f t="shared" si="38"/>
        <v>0.62593516209476308</v>
      </c>
      <c r="E95" s="19">
        <f t="shared" si="40"/>
        <v>-1464.7902604254118</v>
      </c>
      <c r="F95" s="19">
        <f t="shared" si="41"/>
        <v>-13715.61097256858</v>
      </c>
      <c r="G95" s="94">
        <f t="shared" si="32"/>
        <v>0.10679730296776524</v>
      </c>
      <c r="H95" s="96"/>
      <c r="I95" s="49" t="s">
        <v>14</v>
      </c>
      <c r="J95" s="49" t="s">
        <v>17</v>
      </c>
      <c r="K95" s="1"/>
      <c r="L95" s="50" t="s">
        <v>19</v>
      </c>
      <c r="M95" s="51" t="s">
        <v>21</v>
      </c>
    </row>
    <row r="96" spans="1:13">
      <c r="A96" s="109">
        <f t="shared" si="42"/>
        <v>2.2500000000000006E-2</v>
      </c>
      <c r="B96" s="5">
        <f t="shared" si="39"/>
        <v>-8</v>
      </c>
      <c r="D96" s="4">
        <f t="shared" si="38"/>
        <v>0.62605172951075094</v>
      </c>
      <c r="E96" s="19">
        <f t="shared" si="40"/>
        <v>-1465.5971785621769</v>
      </c>
      <c r="F96" s="19">
        <f t="shared" si="41"/>
        <v>-13711.310377064508</v>
      </c>
      <c r="G96" s="94">
        <f t="shared" si="32"/>
        <v>0.10688965082533203</v>
      </c>
      <c r="H96" s="96"/>
    </row>
    <row r="97" spans="1:13" ht="13.5" thickBot="1">
      <c r="A97" s="110">
        <f t="shared" si="42"/>
        <v>2.5000000000000008E-2</v>
      </c>
      <c r="B97" s="6">
        <f t="shared" si="39"/>
        <v>-8</v>
      </c>
      <c r="C97" s="7"/>
      <c r="D97" s="8">
        <f t="shared" si="38"/>
        <v>0.62616822429906549</v>
      </c>
      <c r="E97" s="20">
        <f t="shared" si="40"/>
        <v>-1466.4040527556995</v>
      </c>
      <c r="F97" s="20">
        <f t="shared" si="41"/>
        <v>-13707.009345794391</v>
      </c>
      <c r="G97" s="94">
        <f t="shared" si="32"/>
        <v>0.10698205682668657</v>
      </c>
      <c r="H97" s="96"/>
    </row>
    <row r="98" spans="1:13">
      <c r="A98" s="109">
        <f>+$E$2</f>
        <v>2.5000000000000001E-2</v>
      </c>
      <c r="B98" s="5">
        <f t="shared" ref="B98:B108" si="43">$C$2</f>
        <v>-8</v>
      </c>
      <c r="C98" s="4">
        <f>($E$2-$D$2)/(A98-B98)</f>
        <v>0.62616822429906549</v>
      </c>
      <c r="D98" s="10">
        <f>(A98-$D$2)/(A98-B98)</f>
        <v>0.62616822429906549</v>
      </c>
      <c r="E98" s="21">
        <f>((-$E$2+$D$2)*C98/2*(-0.5+D98-C98/3)+$E$2*D98*(-0.5+D98/2)+$D$2*(1-D98)*D98/2)*$G$2*$H$2*$I$2*$I$2</f>
        <v>-1466.4040527556992</v>
      </c>
      <c r="F98" s="19">
        <f>($D$2*(1-D98)+$E$2*D98+(-$E$2+$D$2)*C98/2)*$G$2*$H$2*$I$2</f>
        <v>-13707.009345794395</v>
      </c>
      <c r="G98" s="94">
        <f t="shared" si="32"/>
        <v>0.10698205682668653</v>
      </c>
      <c r="H98" s="95" t="s">
        <v>50</v>
      </c>
    </row>
    <row r="99" spans="1:13" ht="18.75" thickBot="1">
      <c r="A99" s="109">
        <f>A98+($F$2-$E$2)*0.1</f>
        <v>3.5500000000000004E-2</v>
      </c>
      <c r="B99" s="5">
        <f t="shared" si="43"/>
        <v>-8</v>
      </c>
      <c r="C99" s="4">
        <f t="shared" ref="C99:C108" si="44">($E$2-$D$2)/(A99-B99)</f>
        <v>0.6253500093335822</v>
      </c>
      <c r="D99" s="10">
        <f t="shared" ref="D99:D108" si="45">(A99-$D$2)/(A99-B99)</f>
        <v>0.62665671084562247</v>
      </c>
      <c r="E99" s="21">
        <f t="shared" ref="E99:E108" si="46">((-$E$2+$D$2)*C99/2*(-0.5+D99-C99/3)+$E$2*D99*(-0.5+D99/2)+$D$2*(1-D99)*D99/2)*$G$2*$H$2*$I$2*$I$2</f>
        <v>-1469.7814777891931</v>
      </c>
      <c r="F99" s="19">
        <f t="shared" ref="F99:F108" si="47">($D$2*(1-D99)+$E$2*D99+(-$E$2+$D$2)*C99/2)*$G$2*$H$2*$I$2</f>
        <v>-13688.967705805489</v>
      </c>
      <c r="G99" s="94">
        <f t="shared" si="32"/>
        <v>0.10736978195703238</v>
      </c>
      <c r="H99" s="96"/>
      <c r="J99" s="35"/>
      <c r="K99" s="48" t="s">
        <v>28</v>
      </c>
    </row>
    <row r="100" spans="1:13" ht="16.5">
      <c r="A100" s="109">
        <f t="shared" ref="A100:A108" si="48">A99+($F$2-$E$2)*0.1</f>
        <v>4.6000000000000006E-2</v>
      </c>
      <c r="B100" s="5">
        <f t="shared" si="43"/>
        <v>-8</v>
      </c>
      <c r="C100" s="4">
        <f t="shared" si="44"/>
        <v>0.62453392990305756</v>
      </c>
      <c r="D100" s="10">
        <f t="shared" si="45"/>
        <v>0.62714392244593598</v>
      </c>
      <c r="E100" s="21">
        <f t="shared" si="46"/>
        <v>-1473.1362896010135</v>
      </c>
      <c r="F100" s="19">
        <f t="shared" si="47"/>
        <v>-13670.973154362417</v>
      </c>
      <c r="G100" s="94">
        <f t="shared" si="32"/>
        <v>0.10775650518565569</v>
      </c>
      <c r="H100" s="97" t="s">
        <v>10</v>
      </c>
      <c r="I100" s="37"/>
      <c r="J100" s="37"/>
      <c r="K100" s="37"/>
      <c r="L100" s="38"/>
    </row>
    <row r="101" spans="1:13">
      <c r="A101" s="109">
        <f t="shared" si="48"/>
        <v>5.6500000000000009E-2</v>
      </c>
      <c r="B101" s="5">
        <f t="shared" si="43"/>
        <v>-8</v>
      </c>
      <c r="C101" s="4">
        <f t="shared" si="44"/>
        <v>0.62371997765779186</v>
      </c>
      <c r="D101" s="10">
        <f t="shared" si="45"/>
        <v>0.6276298640849004</v>
      </c>
      <c r="E101" s="21">
        <f t="shared" si="46"/>
        <v>-1476.4686304852453</v>
      </c>
      <c r="F101" s="19">
        <f t="shared" si="47"/>
        <v>-13653.025507354312</v>
      </c>
      <c r="G101" s="94">
        <f t="shared" si="32"/>
        <v>0.10814223043016609</v>
      </c>
      <c r="H101" s="96"/>
      <c r="I101" s="39"/>
      <c r="J101" s="40"/>
      <c r="K101" s="41"/>
      <c r="L101" s="41"/>
    </row>
    <row r="102" spans="1:13" ht="18.75" thickBot="1">
      <c r="A102" s="109">
        <f t="shared" si="48"/>
        <v>6.7000000000000004E-2</v>
      </c>
      <c r="B102" s="5">
        <f t="shared" si="43"/>
        <v>-8</v>
      </c>
      <c r="C102" s="4">
        <f t="shared" si="44"/>
        <v>0.62290814429155827</v>
      </c>
      <c r="D102" s="10">
        <f t="shared" si="45"/>
        <v>0.62811454072145778</v>
      </c>
      <c r="E102" s="21">
        <f t="shared" si="46"/>
        <v>-1479.7786417149823</v>
      </c>
      <c r="F102" s="19">
        <f t="shared" si="47"/>
        <v>-13635.124581628857</v>
      </c>
      <c r="G102" s="94">
        <f t="shared" si="32"/>
        <v>0.10852696158777651</v>
      </c>
      <c r="H102" s="98"/>
      <c r="I102" s="42"/>
      <c r="J102" s="43"/>
      <c r="K102" s="44"/>
      <c r="L102" s="44"/>
      <c r="M102" s="52" t="s">
        <v>29</v>
      </c>
    </row>
    <row r="103" spans="1:13">
      <c r="A103" s="109">
        <f t="shared" si="48"/>
        <v>7.7500000000000013E-2</v>
      </c>
      <c r="B103" s="5">
        <f t="shared" si="43"/>
        <v>-8</v>
      </c>
      <c r="C103" s="4">
        <f t="shared" si="44"/>
        <v>0.62209842154131845</v>
      </c>
      <c r="D103" s="10">
        <f t="shared" si="45"/>
        <v>0.628597957288765</v>
      </c>
      <c r="E103" s="21">
        <f t="shared" si="46"/>
        <v>-1483.0664635507865</v>
      </c>
      <c r="F103" s="19">
        <f t="shared" si="47"/>
        <v>-13617.270194986077</v>
      </c>
      <c r="G103" s="94">
        <f t="shared" si="32"/>
        <v>0.10891070253543594</v>
      </c>
      <c r="H103" s="96"/>
      <c r="I103" s="39"/>
      <c r="J103" s="40"/>
      <c r="K103" s="41"/>
      <c r="L103" s="41"/>
    </row>
    <row r="104" spans="1:13">
      <c r="A104" s="109">
        <f t="shared" si="48"/>
        <v>8.8000000000000023E-2</v>
      </c>
      <c r="B104" s="5">
        <f t="shared" si="43"/>
        <v>-8</v>
      </c>
      <c r="C104" s="4">
        <f t="shared" si="44"/>
        <v>0.62129080118694369</v>
      </c>
      <c r="D104" s="10">
        <f t="shared" si="45"/>
        <v>0.62908011869436209</v>
      </c>
      <c r="E104" s="21">
        <f t="shared" si="46"/>
        <v>-1486.3322352490559</v>
      </c>
      <c r="F104" s="19">
        <f t="shared" si="47"/>
        <v>-13599.462166172107</v>
      </c>
      <c r="G104" s="94">
        <f t="shared" si="32"/>
        <v>0.10929345712996087</v>
      </c>
      <c r="H104" s="96"/>
      <c r="I104" s="39"/>
      <c r="J104" s="40"/>
      <c r="K104" s="41"/>
      <c r="L104" s="41"/>
    </row>
    <row r="105" spans="1:13" ht="17.25" thickBot="1">
      <c r="A105" s="109">
        <f t="shared" si="48"/>
        <v>9.8500000000000032E-2</v>
      </c>
      <c r="B105" s="5">
        <f t="shared" si="43"/>
        <v>-8</v>
      </c>
      <c r="C105" s="4">
        <f t="shared" si="44"/>
        <v>0.62048527505093543</v>
      </c>
      <c r="D105" s="10">
        <f t="shared" si="45"/>
        <v>0.62956102982033713</v>
      </c>
      <c r="E105" s="21">
        <f t="shared" si="46"/>
        <v>-1489.5760950703245</v>
      </c>
      <c r="F105" s="19">
        <f t="shared" si="47"/>
        <v>-13581.700314873126</v>
      </c>
      <c r="G105" s="94">
        <f t="shared" si="32"/>
        <v>0.10967522920816557</v>
      </c>
      <c r="H105" s="97" t="s">
        <v>6</v>
      </c>
      <c r="I105" s="42"/>
      <c r="J105" s="43"/>
      <c r="K105" s="44"/>
      <c r="L105" s="44"/>
    </row>
    <row r="106" spans="1:13" ht="16.5">
      <c r="A106" s="109">
        <f t="shared" si="48"/>
        <v>0.10900000000000004</v>
      </c>
      <c r="B106" s="5">
        <f t="shared" si="43"/>
        <v>-8</v>
      </c>
      <c r="C106" s="4">
        <f t="shared" si="44"/>
        <v>0.61968183499815022</v>
      </c>
      <c r="D106" s="10">
        <f t="shared" si="45"/>
        <v>0.6300406955234924</v>
      </c>
      <c r="E106" s="21">
        <f t="shared" si="46"/>
        <v>-1492.7981802874792</v>
      </c>
      <c r="F106" s="19">
        <f t="shared" si="47"/>
        <v>-13563.984461709215</v>
      </c>
      <c r="G106" s="94">
        <f t="shared" si="32"/>
        <v>0.1100560225869921</v>
      </c>
      <c r="H106" s="96"/>
      <c r="I106" s="49" t="s">
        <v>14</v>
      </c>
      <c r="J106" s="49" t="s">
        <v>17</v>
      </c>
      <c r="K106" s="1"/>
      <c r="L106" s="50" t="s">
        <v>19</v>
      </c>
      <c r="M106" s="51" t="s">
        <v>21</v>
      </c>
    </row>
    <row r="107" spans="1:13">
      <c r="A107" s="109">
        <f t="shared" si="48"/>
        <v>0.11950000000000005</v>
      </c>
      <c r="B107" s="5">
        <f t="shared" si="43"/>
        <v>-8</v>
      </c>
      <c r="C107" s="4">
        <f t="shared" si="44"/>
        <v>0.61888047293552562</v>
      </c>
      <c r="D107" s="10">
        <f t="shared" si="45"/>
        <v>0.63051912063550708</v>
      </c>
      <c r="E107" s="21">
        <f t="shared" si="46"/>
        <v>-1495.9986271938953</v>
      </c>
      <c r="F107" s="19">
        <f t="shared" si="47"/>
        <v>-13546.314428228345</v>
      </c>
      <c r="G107" s="94">
        <f t="shared" si="32"/>
        <v>0.11043584106363827</v>
      </c>
      <c r="H107" s="96"/>
    </row>
    <row r="108" spans="1:13" ht="13.5" thickBot="1">
      <c r="A108" s="110">
        <f t="shared" si="48"/>
        <v>0.13000000000000006</v>
      </c>
      <c r="B108" s="6">
        <f t="shared" si="43"/>
        <v>-8</v>
      </c>
      <c r="C108" s="8">
        <f t="shared" si="44"/>
        <v>0.61808118081180807</v>
      </c>
      <c r="D108" s="8">
        <f t="shared" si="45"/>
        <v>0.63099630996309952</v>
      </c>
      <c r="E108" s="20">
        <f t="shared" si="46"/>
        <v>-1499.1775711115042</v>
      </c>
      <c r="F108" s="20">
        <f t="shared" si="47"/>
        <v>-13528.690036900371</v>
      </c>
      <c r="G108" s="94">
        <f t="shared" si="32"/>
        <v>0.11081468841568556</v>
      </c>
      <c r="H108" s="96"/>
    </row>
    <row r="109" spans="1:13">
      <c r="A109" s="78">
        <f>+$F$2</f>
        <v>0.13</v>
      </c>
      <c r="B109" s="17">
        <f>+$C$2</f>
        <v>-8</v>
      </c>
      <c r="C109" s="10">
        <f>($E$2-$D$2)/(A109-B109)</f>
        <v>0.61808118081180807</v>
      </c>
      <c r="D109" s="10">
        <f>(-B109+$E$2)/(A109-B109)</f>
        <v>0.98708487084870844</v>
      </c>
      <c r="E109" s="21">
        <f>((-$D$2+$E$2)*C109/2*(0.5-D109+C109/3)+$D$2*D109*(0.5-D109/2)-$E$2*(1-D109)*D109/2)*$G$2*$H$2*$I$2*$I$2</f>
        <v>-1499.1775711115051</v>
      </c>
      <c r="F109" s="21">
        <f>($E$2*(1-D109)+$D$2*D109+(+$E$2-$D$2)*C109/2)*$G$2*$H$2*$I$2</f>
        <v>-13528.690036900371</v>
      </c>
      <c r="G109" s="94">
        <f t="shared" si="32"/>
        <v>0.11081468841568563</v>
      </c>
      <c r="H109" s="95" t="s">
        <v>51</v>
      </c>
    </row>
    <row r="110" spans="1:13" ht="18.75" thickBot="1">
      <c r="A110" s="111">
        <f t="shared" ref="A110:A119" si="49">+$F$2</f>
        <v>0.13</v>
      </c>
      <c r="B110" s="9">
        <f>B109-($C$2-$D$2)*0.1</f>
        <v>-7.7</v>
      </c>
      <c r="C110" s="10">
        <f t="shared" ref="C110:C119" si="50">($E$2-$D$2)/(A110-B110)</f>
        <v>0.64176245210727978</v>
      </c>
      <c r="D110" s="10">
        <f t="shared" ref="D110:D119" si="51">(-B110+$E$2)/(A110-B110)</f>
        <v>0.98659003831417635</v>
      </c>
      <c r="E110" s="21">
        <f t="shared" ref="E110:E119" si="52">((-$D$2+$E$2)*C110/2*(0.5-D110+C110/3)+$D$2*D110*(0.5-D110/2)-$E$2*(1-D110)*D110/2)*$G$2*$H$2*$I$2*$I$2</f>
        <v>-1513.2807797889045</v>
      </c>
      <c r="F110" s="21">
        <f t="shared" ref="F110:F119" si="53">($E$2*(1-D110)+$D$2*D110+(+$E$2-$D$2)*C110/2)*$G$2*$H$2*$I$2</f>
        <v>-13280.747126436785</v>
      </c>
      <c r="G110" s="94">
        <f t="shared" si="32"/>
        <v>0.11394545543123497</v>
      </c>
      <c r="H110" s="96"/>
      <c r="J110" s="35"/>
      <c r="K110" s="48" t="s">
        <v>28</v>
      </c>
    </row>
    <row r="111" spans="1:13" ht="16.5">
      <c r="A111" s="111">
        <f t="shared" si="49"/>
        <v>0.13</v>
      </c>
      <c r="B111" s="9">
        <f t="shared" ref="B111:B119" si="54">B110-($C$2-$D$2)*0.1</f>
        <v>-7.4</v>
      </c>
      <c r="C111" s="10">
        <f t="shared" si="50"/>
        <v>0.66733067729083673</v>
      </c>
      <c r="D111" s="10">
        <f t="shared" si="51"/>
        <v>0.98605577689243029</v>
      </c>
      <c r="E111" s="21">
        <f t="shared" si="52"/>
        <v>-1524.9170648084955</v>
      </c>
      <c r="F111" s="21">
        <f t="shared" si="53"/>
        <v>-13013.047808764939</v>
      </c>
      <c r="G111" s="94">
        <f t="shared" si="32"/>
        <v>0.11718369802509966</v>
      </c>
      <c r="H111" s="97" t="s">
        <v>10</v>
      </c>
      <c r="I111" s="77"/>
      <c r="J111" s="77"/>
      <c r="K111" s="77"/>
      <c r="L111" s="53"/>
    </row>
    <row r="112" spans="1:13">
      <c r="A112" s="111">
        <f t="shared" si="49"/>
        <v>0.13</v>
      </c>
      <c r="B112" s="9">
        <f t="shared" si="54"/>
        <v>-7.1000000000000005</v>
      </c>
      <c r="C112" s="10">
        <f t="shared" si="50"/>
        <v>0.69502074688796678</v>
      </c>
      <c r="D112" s="10">
        <f t="shared" si="51"/>
        <v>0.98547717842323657</v>
      </c>
      <c r="E112" s="21">
        <f t="shared" si="52"/>
        <v>-1533.3138203543331</v>
      </c>
      <c r="F112" s="21">
        <f t="shared" si="53"/>
        <v>-12723.132780082989</v>
      </c>
      <c r="G112" s="94">
        <f t="shared" si="32"/>
        <v>0.12051385824995939</v>
      </c>
      <c r="H112" s="96"/>
      <c r="I112" s="78"/>
      <c r="J112" s="79"/>
      <c r="K112" s="80"/>
      <c r="L112" s="80"/>
    </row>
    <row r="113" spans="1:13" ht="18.75" thickBot="1">
      <c r="A113" s="111">
        <f t="shared" si="49"/>
        <v>0.13</v>
      </c>
      <c r="B113" s="9">
        <f t="shared" si="54"/>
        <v>-6.8000000000000007</v>
      </c>
      <c r="C113" s="10">
        <f t="shared" si="50"/>
        <v>0.72510822510822515</v>
      </c>
      <c r="D113" s="10">
        <f t="shared" si="51"/>
        <v>0.98484848484848486</v>
      </c>
      <c r="E113" s="21">
        <f t="shared" si="52"/>
        <v>-1537.4805569610767</v>
      </c>
      <c r="F113" s="21">
        <f t="shared" si="53"/>
        <v>-12408.116883116883</v>
      </c>
      <c r="G113" s="94">
        <f t="shared" si="32"/>
        <v>0.12390925806421529</v>
      </c>
      <c r="H113" s="98"/>
      <c r="I113" s="81"/>
      <c r="J113" s="82"/>
      <c r="K113" s="83"/>
      <c r="L113" s="83"/>
      <c r="M113" s="52" t="s">
        <v>29</v>
      </c>
    </row>
    <row r="114" spans="1:13">
      <c r="A114" s="111">
        <f t="shared" si="49"/>
        <v>0.13</v>
      </c>
      <c r="B114" s="9">
        <f t="shared" si="54"/>
        <v>-6.5000000000000009</v>
      </c>
      <c r="C114" s="10">
        <f t="shared" si="50"/>
        <v>0.75791855203619907</v>
      </c>
      <c r="D114" s="10">
        <f t="shared" si="51"/>
        <v>0.98416289592760187</v>
      </c>
      <c r="E114" s="21">
        <f t="shared" si="52"/>
        <v>-1536.1397186789789</v>
      </c>
      <c r="F114" s="21">
        <f t="shared" si="53"/>
        <v>-12064.592760180996</v>
      </c>
      <c r="G114" s="94">
        <f t="shared" si="32"/>
        <v>0.12732628023292958</v>
      </c>
      <c r="H114" s="96"/>
      <c r="I114" s="78"/>
      <c r="J114" s="79"/>
      <c r="K114" s="80"/>
      <c r="L114" s="80"/>
    </row>
    <row r="115" spans="1:13">
      <c r="A115" s="111">
        <f t="shared" si="49"/>
        <v>0.13</v>
      </c>
      <c r="B115" s="9">
        <f t="shared" si="54"/>
        <v>-6.2000000000000011</v>
      </c>
      <c r="C115" s="10">
        <f t="shared" si="50"/>
        <v>0.79383886255924163</v>
      </c>
      <c r="D115" s="10">
        <f t="shared" si="51"/>
        <v>0.98341232227488162</v>
      </c>
      <c r="E115" s="21">
        <f t="shared" si="52"/>
        <v>-1527.6319040452818</v>
      </c>
      <c r="F115" s="21">
        <f t="shared" si="53"/>
        <v>-11688.507109004742</v>
      </c>
      <c r="G115" s="94">
        <f t="shared" si="32"/>
        <v>0.13069521109914928</v>
      </c>
      <c r="H115" s="96"/>
      <c r="I115" s="78"/>
      <c r="J115" s="79"/>
      <c r="K115" s="80"/>
      <c r="L115" s="80"/>
    </row>
    <row r="116" spans="1:13" ht="17.25" thickBot="1">
      <c r="A116" s="111">
        <f t="shared" si="49"/>
        <v>0.13</v>
      </c>
      <c r="B116" s="9">
        <f t="shared" si="54"/>
        <v>-5.9000000000000012</v>
      </c>
      <c r="C116" s="10">
        <f t="shared" si="50"/>
        <v>0.83333333333333326</v>
      </c>
      <c r="D116" s="10">
        <f t="shared" si="51"/>
        <v>0.98258706467661705</v>
      </c>
      <c r="E116" s="21">
        <f t="shared" si="52"/>
        <v>-1509.7844112769487</v>
      </c>
      <c r="F116" s="21">
        <f t="shared" si="53"/>
        <v>-11275.000000000002</v>
      </c>
      <c r="G116" s="94">
        <f t="shared" si="32"/>
        <v>0.13390549102234575</v>
      </c>
      <c r="H116" s="97" t="s">
        <v>6</v>
      </c>
      <c r="I116" s="81"/>
      <c r="J116" s="82"/>
      <c r="K116" s="83"/>
      <c r="L116" s="83"/>
    </row>
    <row r="117" spans="1:13" ht="16.5">
      <c r="A117" s="111">
        <f t="shared" si="49"/>
        <v>0.13</v>
      </c>
      <c r="B117" s="9">
        <f t="shared" si="54"/>
        <v>-5.6000000000000014</v>
      </c>
      <c r="C117" s="10">
        <f t="shared" si="50"/>
        <v>0.87696335078534016</v>
      </c>
      <c r="D117" s="10">
        <f t="shared" si="51"/>
        <v>0.98167539267015713</v>
      </c>
      <c r="E117" s="21">
        <f t="shared" si="52"/>
        <v>-1479.726432937694</v>
      </c>
      <c r="F117" s="21">
        <f t="shared" si="53"/>
        <v>-10818.193717277489</v>
      </c>
      <c r="G117" s="94">
        <f t="shared" si="32"/>
        <v>0.13678128452945493</v>
      </c>
      <c r="H117" s="96"/>
      <c r="I117" s="49" t="s">
        <v>14</v>
      </c>
      <c r="J117" s="49" t="s">
        <v>17</v>
      </c>
      <c r="K117" s="1"/>
      <c r="L117" s="50" t="s">
        <v>19</v>
      </c>
      <c r="M117" s="51" t="s">
        <v>21</v>
      </c>
    </row>
    <row r="118" spans="1:13">
      <c r="A118" s="111">
        <f t="shared" si="49"/>
        <v>0.13</v>
      </c>
      <c r="B118" s="9">
        <f t="shared" si="54"/>
        <v>-5.3000000000000016</v>
      </c>
      <c r="C118" s="10">
        <f t="shared" si="50"/>
        <v>0.92541436464088378</v>
      </c>
      <c r="D118" s="10">
        <f t="shared" si="51"/>
        <v>0.98066298342541447</v>
      </c>
      <c r="E118" s="21">
        <f t="shared" si="52"/>
        <v>-1433.6253472116239</v>
      </c>
      <c r="F118" s="21">
        <f t="shared" si="53"/>
        <v>-10310.911602209946</v>
      </c>
      <c r="G118" s="94">
        <f t="shared" si="32"/>
        <v>0.13903963126833072</v>
      </c>
      <c r="H118" s="96"/>
    </row>
    <row r="119" spans="1:13" ht="13.5" thickBot="1">
      <c r="A119" s="112">
        <f t="shared" si="49"/>
        <v>0.13</v>
      </c>
      <c r="B119" s="15">
        <f t="shared" si="54"/>
        <v>-5.0000000000000018</v>
      </c>
      <c r="C119" s="8">
        <f t="shared" si="50"/>
        <v>0.97953216374268981</v>
      </c>
      <c r="D119" s="8">
        <f t="shared" si="51"/>
        <v>0.97953216374269014</v>
      </c>
      <c r="E119" s="20">
        <f t="shared" si="52"/>
        <v>-1366.3041619643657</v>
      </c>
      <c r="F119" s="20">
        <f t="shared" si="53"/>
        <v>-9744.2982456140435</v>
      </c>
      <c r="G119" s="94">
        <f t="shared" si="32"/>
        <v>0.14021575772060815</v>
      </c>
      <c r="H119" s="96"/>
    </row>
    <row r="120" spans="1:13">
      <c r="A120" s="111">
        <f>$F$2</f>
        <v>0.13</v>
      </c>
      <c r="B120" s="9">
        <f>+$D$2</f>
        <v>-5</v>
      </c>
      <c r="C120" s="57"/>
      <c r="D120" s="10">
        <f t="shared" ref="D120:D130" si="55">(-B120+$E$2)/(A120-B120)</f>
        <v>0.97953216374269014</v>
      </c>
      <c r="E120" s="21">
        <f>(B120-$E$2)*D120/2*$G$2*$H$2*$I$2*$I$2*(0.5-D120/3)</f>
        <v>-1366.3041619643654</v>
      </c>
      <c r="F120" s="21">
        <f>($E$2+(+B120-$E$2)*D120/2)*$G$2*$H$2*$I$2</f>
        <v>-9744.2982456140362</v>
      </c>
      <c r="G120" s="94">
        <f t="shared" si="32"/>
        <v>0.14021575772060821</v>
      </c>
      <c r="H120" s="95" t="s">
        <v>52</v>
      </c>
    </row>
    <row r="121" spans="1:13" ht="18.75" thickBot="1">
      <c r="A121" s="111">
        <f t="shared" ref="A121:A130" si="56">$F$2</f>
        <v>0.13</v>
      </c>
      <c r="B121" s="9">
        <f>B120-$D$2*0.1</f>
        <v>-4.5</v>
      </c>
      <c r="C121" s="57"/>
      <c r="D121" s="4">
        <f t="shared" si="55"/>
        <v>0.97732181425485976</v>
      </c>
      <c r="E121" s="21">
        <f t="shared" ref="E121:E130" si="57">(B121-$E$2)*D121/2*$G$2*$H$2*$I$2*$I$2*(0.5-D121/3)</f>
        <v>-1232.7904998701617</v>
      </c>
      <c r="F121" s="21">
        <f t="shared" ref="F121:F130" si="58">($E$2+(+B121-$E$2)*D121/2)*$G$2*$H$2*$I$2</f>
        <v>-8744.7624190064835</v>
      </c>
      <c r="G121" s="94">
        <f t="shared" si="32"/>
        <v>0.14097472759130975</v>
      </c>
      <c r="H121" s="96"/>
      <c r="J121" s="35"/>
      <c r="K121" s="48" t="s">
        <v>28</v>
      </c>
    </row>
    <row r="122" spans="1:13" ht="16.5">
      <c r="A122" s="111">
        <f t="shared" si="56"/>
        <v>0.13</v>
      </c>
      <c r="B122" s="9">
        <f t="shared" ref="B122:B130" si="59">B121-$D$2*0.1</f>
        <v>-4</v>
      </c>
      <c r="C122" s="57"/>
      <c r="D122" s="4">
        <f t="shared" si="55"/>
        <v>0.97457627118644075</v>
      </c>
      <c r="E122" s="21">
        <f t="shared" si="57"/>
        <v>-1099.2339366082547</v>
      </c>
      <c r="F122" s="21">
        <f t="shared" si="58"/>
        <v>-7745.3389830508495</v>
      </c>
      <c r="G122" s="94">
        <f t="shared" si="32"/>
        <v>0.14192199192491275</v>
      </c>
      <c r="H122" s="97" t="s">
        <v>10</v>
      </c>
      <c r="I122" s="77"/>
      <c r="J122" s="77"/>
      <c r="K122" s="77"/>
      <c r="L122" s="53"/>
    </row>
    <row r="123" spans="1:13">
      <c r="A123" s="111">
        <f t="shared" si="56"/>
        <v>0.13</v>
      </c>
      <c r="B123" s="9">
        <f t="shared" si="59"/>
        <v>-3.5</v>
      </c>
      <c r="C123" s="57"/>
      <c r="D123" s="4">
        <f t="shared" si="55"/>
        <v>0.97107438016528924</v>
      </c>
      <c r="E123" s="21">
        <f t="shared" si="57"/>
        <v>-965.6171026569225</v>
      </c>
      <c r="F123" s="21">
        <f t="shared" si="58"/>
        <v>-6746.0743801652898</v>
      </c>
      <c r="G123" s="94">
        <f t="shared" si="32"/>
        <v>0.14313763060425422</v>
      </c>
      <c r="H123" s="96"/>
      <c r="I123" s="78"/>
      <c r="J123" s="79"/>
      <c r="K123" s="80"/>
      <c r="L123" s="80"/>
    </row>
    <row r="124" spans="1:13" ht="18.75" thickBot="1">
      <c r="A124" s="111">
        <f t="shared" si="56"/>
        <v>0.13</v>
      </c>
      <c r="B124" s="9">
        <f t="shared" si="59"/>
        <v>-3</v>
      </c>
      <c r="C124" s="57"/>
      <c r="D124" s="4">
        <f t="shared" si="55"/>
        <v>0.9664536741214057</v>
      </c>
      <c r="E124" s="21">
        <f t="shared" si="57"/>
        <v>-831.91179522774212</v>
      </c>
      <c r="F124" s="21">
        <f t="shared" si="58"/>
        <v>-5747.0447284345046</v>
      </c>
      <c r="G124" s="94">
        <f t="shared" si="32"/>
        <v>0.14475471038388019</v>
      </c>
      <c r="H124" s="98"/>
      <c r="I124" s="81"/>
      <c r="J124" s="82"/>
      <c r="K124" s="83"/>
      <c r="L124" s="83"/>
      <c r="M124" s="52" t="s">
        <v>29</v>
      </c>
    </row>
    <row r="125" spans="1:13">
      <c r="A125" s="111">
        <f t="shared" si="56"/>
        <v>0.13</v>
      </c>
      <c r="B125" s="9">
        <f t="shared" si="59"/>
        <v>-2.5</v>
      </c>
      <c r="C125" s="57"/>
      <c r="D125" s="4">
        <f t="shared" si="55"/>
        <v>0.96007604562737647</v>
      </c>
      <c r="E125" s="21">
        <f t="shared" si="57"/>
        <v>-698.06898080546671</v>
      </c>
      <c r="F125" s="21">
        <f t="shared" si="58"/>
        <v>-4748.3840304182513</v>
      </c>
      <c r="G125" s="94">
        <f t="shared" si="32"/>
        <v>0.14701190475193701</v>
      </c>
      <c r="H125" s="96"/>
      <c r="I125" s="78"/>
      <c r="J125" s="79"/>
      <c r="K125" s="80"/>
      <c r="L125" s="80"/>
    </row>
    <row r="126" spans="1:13">
      <c r="A126" s="111">
        <f t="shared" si="56"/>
        <v>0.13</v>
      </c>
      <c r="B126" s="9">
        <f t="shared" si="59"/>
        <v>-2</v>
      </c>
      <c r="C126" s="57"/>
      <c r="D126" s="4">
        <f t="shared" si="55"/>
        <v>0.95070422535211263</v>
      </c>
      <c r="E126" s="21">
        <f t="shared" si="57"/>
        <v>-563.99523903987324</v>
      </c>
      <c r="F126" s="21">
        <f t="shared" si="58"/>
        <v>-3750.3521126760565</v>
      </c>
      <c r="G126" s="94">
        <f t="shared" si="32"/>
        <v>0.15038460978999529</v>
      </c>
      <c r="H126" s="96"/>
      <c r="I126" s="78"/>
      <c r="J126" s="79"/>
      <c r="K126" s="80"/>
      <c r="L126" s="80"/>
    </row>
    <row r="127" spans="1:13" ht="17.25" thickBot="1">
      <c r="A127" s="111">
        <f t="shared" si="56"/>
        <v>0.13</v>
      </c>
      <c r="B127" s="9">
        <f t="shared" si="59"/>
        <v>-1.5</v>
      </c>
      <c r="C127" s="57"/>
      <c r="D127" s="4">
        <f t="shared" si="55"/>
        <v>0.93558282208588961</v>
      </c>
      <c r="E127" s="21">
        <f t="shared" si="57"/>
        <v>-429.48799979926486</v>
      </c>
      <c r="F127" s="21">
        <f t="shared" si="58"/>
        <v>-2753.527607361963</v>
      </c>
      <c r="G127" s="94">
        <f t="shared" si="32"/>
        <v>0.15597737195405822</v>
      </c>
      <c r="H127" s="97" t="s">
        <v>6</v>
      </c>
      <c r="I127" s="81"/>
      <c r="J127" s="82"/>
      <c r="K127" s="83"/>
      <c r="L127" s="83"/>
    </row>
    <row r="128" spans="1:13" ht="16.5">
      <c r="A128" s="111">
        <f t="shared" si="56"/>
        <v>0.13</v>
      </c>
      <c r="B128" s="9">
        <f t="shared" si="59"/>
        <v>-1</v>
      </c>
      <c r="C128" s="57"/>
      <c r="D128" s="4">
        <f t="shared" si="55"/>
        <v>0.90707964601769908</v>
      </c>
      <c r="E128" s="21">
        <f t="shared" si="57"/>
        <v>-294.01153836113502</v>
      </c>
      <c r="F128" s="21">
        <f t="shared" si="58"/>
        <v>-1759.5132743362828</v>
      </c>
      <c r="G128" s="94">
        <f t="shared" si="32"/>
        <v>0.16709822122373075</v>
      </c>
      <c r="H128" s="96"/>
      <c r="I128" s="49" t="s">
        <v>14</v>
      </c>
      <c r="J128" s="49" t="s">
        <v>17</v>
      </c>
      <c r="K128" s="1"/>
      <c r="L128" s="50" t="s">
        <v>19</v>
      </c>
      <c r="M128" s="51" t="s">
        <v>21</v>
      </c>
    </row>
    <row r="129" spans="1:13">
      <c r="A129" s="111">
        <f t="shared" si="56"/>
        <v>0.13</v>
      </c>
      <c r="B129" s="9">
        <f t="shared" si="59"/>
        <v>-0.5</v>
      </c>
      <c r="C129" s="57"/>
      <c r="D129" s="4">
        <f t="shared" si="55"/>
        <v>0.83333333333333337</v>
      </c>
      <c r="E129" s="21">
        <f t="shared" si="57"/>
        <v>-155.5555555555556</v>
      </c>
      <c r="F129" s="21">
        <f t="shared" si="58"/>
        <v>-775.00000000000011</v>
      </c>
      <c r="G129" s="94">
        <f t="shared" si="32"/>
        <v>0.20071684587813624</v>
      </c>
      <c r="H129" s="96"/>
    </row>
    <row r="130" spans="1:13" ht="13.5" thickBot="1">
      <c r="A130" s="112">
        <f t="shared" si="56"/>
        <v>0.13</v>
      </c>
      <c r="B130" s="15">
        <f t="shared" si="59"/>
        <v>0</v>
      </c>
      <c r="C130" s="58"/>
      <c r="D130" s="8">
        <f t="shared" si="55"/>
        <v>0.19230769230769232</v>
      </c>
      <c r="E130" s="20">
        <f t="shared" si="57"/>
        <v>-3.3530571992110461</v>
      </c>
      <c r="F130" s="20">
        <f t="shared" si="58"/>
        <v>90.384615384615401</v>
      </c>
      <c r="G130" s="94">
        <f t="shared" si="32"/>
        <v>-3.7097654118930713E-2</v>
      </c>
      <c r="H130" s="96"/>
    </row>
    <row r="131" spans="1:13">
      <c r="A131" s="78">
        <f t="shared" ref="A131:A141" si="60">$F$2</f>
        <v>0.13</v>
      </c>
      <c r="B131" s="17">
        <v>0</v>
      </c>
      <c r="D131" s="4">
        <f>(B131-$E$2)/(B131-A131)</f>
        <v>0.19230769230769232</v>
      </c>
      <c r="E131" s="19">
        <f>(B131-$E$2)*D131/2*(0.5-D131/3)*$G$2*$H$2*$I$2*$I$2</f>
        <v>-3.3530571992110461</v>
      </c>
      <c r="F131" s="19">
        <f>($E$2+(B131-$E$2)*D131/2)*$G$2*$H$2*$I$2</f>
        <v>90.384615384615401</v>
      </c>
      <c r="G131" s="94">
        <f t="shared" si="32"/>
        <v>-3.7097654118930713E-2</v>
      </c>
      <c r="H131" s="95" t="s">
        <v>53</v>
      </c>
    </row>
    <row r="132" spans="1:13" ht="18.75" thickBot="1">
      <c r="A132" s="111">
        <f t="shared" si="60"/>
        <v>0.13</v>
      </c>
      <c r="B132" s="9">
        <f>B131+$E$2*0.1</f>
        <v>2.5000000000000005E-3</v>
      </c>
      <c r="D132" s="4">
        <f t="shared" ref="D132:D141" si="61">(B132-$E$2)/(B132-A132)</f>
        <v>0.1764705882352941</v>
      </c>
      <c r="E132" s="19">
        <f t="shared" ref="E132:E141" si="62">(B132-$E$2)*D132/2*(0.5-D132/3)*$G$2*$H$2*$I$2*$I$2</f>
        <v>-2.8027681660899653</v>
      </c>
      <c r="F132" s="19">
        <f t="shared" ref="F132:F141" si="63">($E$2+(B132-$E$2)*D132/2)*$G$2*$H$2*$I$2</f>
        <v>92.058823529411782</v>
      </c>
      <c r="G132" s="94">
        <f t="shared" si="32"/>
        <v>-3.0445404999060319E-2</v>
      </c>
      <c r="H132" s="96"/>
      <c r="J132" s="35"/>
      <c r="K132" s="48" t="s">
        <v>28</v>
      </c>
    </row>
    <row r="133" spans="1:13" ht="16.5">
      <c r="A133" s="111">
        <f t="shared" si="60"/>
        <v>0.13</v>
      </c>
      <c r="B133" s="9">
        <f t="shared" ref="B133:B141" si="64">B132+$E$2*0.1</f>
        <v>5.000000000000001E-3</v>
      </c>
      <c r="D133" s="4">
        <f t="shared" si="61"/>
        <v>0.16</v>
      </c>
      <c r="E133" s="19">
        <f t="shared" si="62"/>
        <v>-2.2869333333333337</v>
      </c>
      <c r="F133" s="19">
        <f t="shared" si="63"/>
        <v>93.600000000000009</v>
      </c>
      <c r="G133" s="94">
        <f t="shared" si="32"/>
        <v>-2.4433048433048436E-2</v>
      </c>
      <c r="H133" s="97" t="s">
        <v>10</v>
      </c>
      <c r="I133" s="77"/>
      <c r="J133" s="77"/>
      <c r="K133" s="77"/>
      <c r="L133" s="53"/>
    </row>
    <row r="134" spans="1:13">
      <c r="A134" s="111">
        <f t="shared" si="60"/>
        <v>0.13</v>
      </c>
      <c r="B134" s="9">
        <f t="shared" si="64"/>
        <v>7.5000000000000015E-3</v>
      </c>
      <c r="D134" s="4">
        <f t="shared" si="61"/>
        <v>0.14285714285714288</v>
      </c>
      <c r="E134" s="19">
        <f t="shared" si="62"/>
        <v>-1.80952380952381</v>
      </c>
      <c r="F134" s="19">
        <f t="shared" si="63"/>
        <v>95</v>
      </c>
      <c r="G134" s="94">
        <f t="shared" si="32"/>
        <v>-1.9047619047619053E-2</v>
      </c>
      <c r="H134" s="96"/>
      <c r="I134" s="78"/>
      <c r="J134" s="79"/>
      <c r="K134" s="80"/>
      <c r="L134" s="80"/>
    </row>
    <row r="135" spans="1:13" ht="18.75" thickBot="1">
      <c r="A135" s="111">
        <f t="shared" si="60"/>
        <v>0.13</v>
      </c>
      <c r="B135" s="9">
        <f t="shared" si="64"/>
        <v>1.0000000000000002E-2</v>
      </c>
      <c r="D135" s="4">
        <f t="shared" si="61"/>
        <v>0.125</v>
      </c>
      <c r="E135" s="19">
        <f t="shared" si="62"/>
        <v>-1.375</v>
      </c>
      <c r="F135" s="19">
        <f t="shared" si="63"/>
        <v>96.25</v>
      </c>
      <c r="G135" s="94">
        <f t="shared" si="32"/>
        <v>-1.4285714285714285E-2</v>
      </c>
      <c r="H135" s="98"/>
      <c r="I135" s="81"/>
      <c r="J135" s="82"/>
      <c r="K135" s="83"/>
      <c r="L135" s="83"/>
      <c r="M135" s="52" t="s">
        <v>29</v>
      </c>
    </row>
    <row r="136" spans="1:13">
      <c r="A136" s="111">
        <f t="shared" si="60"/>
        <v>0.13</v>
      </c>
      <c r="B136" s="9">
        <f t="shared" si="64"/>
        <v>1.2500000000000002E-2</v>
      </c>
      <c r="D136" s="4">
        <f t="shared" si="61"/>
        <v>0.10638297872340424</v>
      </c>
      <c r="E136" s="19">
        <f t="shared" si="62"/>
        <v>-0.98838086615361387</v>
      </c>
      <c r="F136" s="19">
        <f t="shared" si="63"/>
        <v>97.340425531914903</v>
      </c>
      <c r="G136" s="94">
        <f t="shared" si="32"/>
        <v>-1.0153858078517999E-2</v>
      </c>
      <c r="H136" s="96"/>
      <c r="I136" s="78"/>
      <c r="J136" s="79"/>
      <c r="K136" s="80"/>
      <c r="L136" s="80"/>
    </row>
    <row r="137" spans="1:13">
      <c r="A137" s="111">
        <f t="shared" si="60"/>
        <v>0.13</v>
      </c>
      <c r="B137" s="9">
        <f t="shared" si="64"/>
        <v>1.5000000000000003E-2</v>
      </c>
      <c r="D137" s="4">
        <f t="shared" si="61"/>
        <v>8.6956521739130418E-2</v>
      </c>
      <c r="E137" s="19">
        <f t="shared" si="62"/>
        <v>-0.65532451165721461</v>
      </c>
      <c r="F137" s="19">
        <f t="shared" si="63"/>
        <v>98.260869565217405</v>
      </c>
      <c r="G137" s="94">
        <f t="shared" si="32"/>
        <v>-6.6692317558035103E-3</v>
      </c>
      <c r="H137" s="96"/>
      <c r="I137" s="78"/>
      <c r="J137" s="79"/>
      <c r="K137" s="80"/>
      <c r="L137" s="80"/>
    </row>
    <row r="138" spans="1:13" ht="17.25" thickBot="1">
      <c r="A138" s="111">
        <f t="shared" si="60"/>
        <v>0.13</v>
      </c>
      <c r="B138" s="9">
        <f t="shared" si="64"/>
        <v>1.7500000000000002E-2</v>
      </c>
      <c r="D138" s="4">
        <f t="shared" si="61"/>
        <v>6.6666666666666666E-2</v>
      </c>
      <c r="E138" s="19">
        <f t="shared" si="62"/>
        <v>-0.3822222222222223</v>
      </c>
      <c r="F138" s="19">
        <f t="shared" si="63"/>
        <v>99</v>
      </c>
      <c r="G138" s="94">
        <f t="shared" si="32"/>
        <v>-3.8608305274971948E-3</v>
      </c>
      <c r="H138" s="97" t="s">
        <v>6</v>
      </c>
      <c r="I138" s="81"/>
      <c r="J138" s="82"/>
      <c r="K138" s="83"/>
      <c r="L138" s="83"/>
    </row>
    <row r="139" spans="1:13" ht="16.5">
      <c r="A139" s="111">
        <f t="shared" si="60"/>
        <v>0.13</v>
      </c>
      <c r="B139" s="9">
        <f t="shared" si="64"/>
        <v>2.0000000000000004E-2</v>
      </c>
      <c r="D139" s="4">
        <f t="shared" si="61"/>
        <v>4.5454545454545435E-2</v>
      </c>
      <c r="E139" s="19">
        <f t="shared" si="62"/>
        <v>-0.17630853994490342</v>
      </c>
      <c r="F139" s="19">
        <f t="shared" si="63"/>
        <v>99.545454545454561</v>
      </c>
      <c r="G139" s="94">
        <f t="shared" si="32"/>
        <v>-1.7711360177113582E-3</v>
      </c>
      <c r="H139" s="96"/>
      <c r="I139" s="49" t="s">
        <v>14</v>
      </c>
      <c r="J139" s="49" t="s">
        <v>17</v>
      </c>
      <c r="K139" s="1"/>
      <c r="L139" s="50" t="s">
        <v>19</v>
      </c>
      <c r="M139" s="51" t="s">
        <v>21</v>
      </c>
    </row>
    <row r="140" spans="1:13">
      <c r="A140" s="111">
        <f t="shared" si="60"/>
        <v>0.13</v>
      </c>
      <c r="B140" s="9">
        <f t="shared" si="64"/>
        <v>2.2500000000000006E-2</v>
      </c>
      <c r="D140" s="4">
        <f t="shared" si="61"/>
        <v>2.325581395348833E-2</v>
      </c>
      <c r="E140" s="19">
        <f t="shared" si="62"/>
        <v>-4.5790517396790902E-2</v>
      </c>
      <c r="F140" s="19">
        <f t="shared" si="63"/>
        <v>99.88372093023257</v>
      </c>
      <c r="G140" s="94">
        <f>E140/F140</f>
        <v>-4.5843824169080526E-4</v>
      </c>
      <c r="H140" s="96"/>
    </row>
    <row r="141" spans="1:13" ht="13.5" thickBot="1">
      <c r="A141" s="112">
        <f t="shared" si="60"/>
        <v>0.13</v>
      </c>
      <c r="B141" s="15">
        <f t="shared" si="64"/>
        <v>2.5000000000000008E-2</v>
      </c>
      <c r="C141" s="7"/>
      <c r="D141" s="8">
        <f t="shared" si="61"/>
        <v>-6.6084703846735508E-17</v>
      </c>
      <c r="E141" s="20">
        <f t="shared" si="62"/>
        <v>-3.6684379893090212E-31</v>
      </c>
      <c r="F141" s="20">
        <f t="shared" si="63"/>
        <v>100</v>
      </c>
      <c r="G141" s="94">
        <f>E141/F141</f>
        <v>-3.6684379893090213E-33</v>
      </c>
      <c r="H141" s="96"/>
    </row>
    <row r="142" spans="1:13" ht="13.5" thickBot="1"/>
    <row r="143" spans="1:13">
      <c r="A143" s="86" t="s">
        <v>54</v>
      </c>
      <c r="B143" s="86"/>
      <c r="C143" s="53"/>
    </row>
    <row r="144" spans="1:13" ht="13.5" thickBot="1">
      <c r="A144" s="18" t="s">
        <v>55</v>
      </c>
      <c r="B144" s="18"/>
      <c r="C144" s="83"/>
    </row>
    <row r="145" spans="1:5">
      <c r="A145" s="91">
        <f>+G15</f>
        <v>3.7097654118930734E-2</v>
      </c>
      <c r="B145" s="84">
        <v>0</v>
      </c>
      <c r="C145" s="85">
        <v>0</v>
      </c>
    </row>
    <row r="146" spans="1:5">
      <c r="A146" s="10"/>
      <c r="B146" s="21">
        <f>+E15</f>
        <v>3.3530571992110474</v>
      </c>
      <c r="C146" s="88">
        <f>+F15</f>
        <v>90.384615384615387</v>
      </c>
    </row>
    <row r="147" spans="1:5">
      <c r="A147" s="10">
        <f>+G26</f>
        <v>-0.14021575772060821</v>
      </c>
      <c r="B147" s="87">
        <v>0</v>
      </c>
      <c r="C147" s="89">
        <v>0</v>
      </c>
    </row>
    <row r="148" spans="1:5">
      <c r="A148" s="10"/>
      <c r="B148" s="21">
        <f>+E26</f>
        <v>1366.3041619643654</v>
      </c>
      <c r="C148" s="88">
        <f>+F26</f>
        <v>-9744.2982456140362</v>
      </c>
    </row>
    <row r="149" spans="1:5">
      <c r="A149" s="10">
        <f>+G38</f>
        <v>-0.11081468841568556</v>
      </c>
      <c r="B149" s="87">
        <v>0</v>
      </c>
      <c r="C149" s="89">
        <v>0</v>
      </c>
    </row>
    <row r="150" spans="1:5">
      <c r="A150" s="10"/>
      <c r="B150" s="21">
        <f>+E37</f>
        <v>1499.1775711115051</v>
      </c>
      <c r="C150" s="88">
        <f>+F37</f>
        <v>-13528.690036900369</v>
      </c>
    </row>
    <row r="151" spans="1:5">
      <c r="A151" s="10">
        <f>+G48</f>
        <v>-0.10698205682668653</v>
      </c>
      <c r="B151" s="87">
        <v>0</v>
      </c>
      <c r="C151" s="89">
        <v>0</v>
      </c>
    </row>
    <row r="152" spans="1:5">
      <c r="A152" s="10"/>
      <c r="B152" s="21">
        <f>+E48</f>
        <v>1466.4040527556992</v>
      </c>
      <c r="C152" s="88">
        <f>+F48</f>
        <v>-13707.009345794395</v>
      </c>
    </row>
    <row r="153" spans="1:5">
      <c r="A153" s="10">
        <f>+G59</f>
        <v>-0.10606060606060605</v>
      </c>
      <c r="B153" s="87">
        <v>0</v>
      </c>
      <c r="C153" s="89">
        <v>0</v>
      </c>
    </row>
    <row r="154" spans="1:5">
      <c r="A154" s="10"/>
      <c r="B154" s="21">
        <f>+E59</f>
        <v>1458.3333333333333</v>
      </c>
      <c r="C154" s="88">
        <f>+F59</f>
        <v>-13750</v>
      </c>
      <c r="E154" s="87"/>
    </row>
    <row r="155" spans="1:5">
      <c r="A155" s="10">
        <f>+G70</f>
        <v>0</v>
      </c>
      <c r="B155" s="87">
        <v>0</v>
      </c>
      <c r="C155" s="89">
        <v>0</v>
      </c>
    </row>
    <row r="156" spans="1:5">
      <c r="A156" s="10"/>
      <c r="B156" s="21">
        <f>+E70</f>
        <v>0</v>
      </c>
      <c r="C156" s="88">
        <f>+F70</f>
        <v>-20000</v>
      </c>
    </row>
    <row r="157" spans="1:5">
      <c r="A157" s="10">
        <f>+G86</f>
        <v>0.10606060606060605</v>
      </c>
      <c r="B157" s="87">
        <v>0</v>
      </c>
      <c r="C157" s="89">
        <v>0</v>
      </c>
    </row>
    <row r="158" spans="1:5">
      <c r="A158" s="10"/>
      <c r="B158" s="21">
        <f>+E86</f>
        <v>-1458.3333333333333</v>
      </c>
      <c r="C158" s="88">
        <f>+F86</f>
        <v>-13750</v>
      </c>
    </row>
    <row r="159" spans="1:5">
      <c r="A159" s="10">
        <f>+G97</f>
        <v>0.10698205682668657</v>
      </c>
      <c r="B159" s="87">
        <v>0</v>
      </c>
      <c r="C159" s="89">
        <v>0</v>
      </c>
    </row>
    <row r="160" spans="1:5">
      <c r="A160" s="10"/>
      <c r="B160" s="21">
        <f>+E97</f>
        <v>-1466.4040527556995</v>
      </c>
      <c r="C160" s="88">
        <f>+F97</f>
        <v>-13707.009345794391</v>
      </c>
    </row>
    <row r="161" spans="1:3">
      <c r="A161" s="10">
        <f>+G108</f>
        <v>0.11081468841568556</v>
      </c>
      <c r="B161" s="87">
        <v>0</v>
      </c>
      <c r="C161" s="89">
        <v>0</v>
      </c>
    </row>
    <row r="162" spans="1:3">
      <c r="A162" s="10"/>
      <c r="B162" s="21">
        <f>+E108</f>
        <v>-1499.1775711115042</v>
      </c>
      <c r="C162" s="88">
        <f>+F108</f>
        <v>-13528.690036900371</v>
      </c>
    </row>
    <row r="163" spans="1:3">
      <c r="A163" s="10">
        <f>+G119</f>
        <v>0.14021575772060815</v>
      </c>
      <c r="B163" s="87">
        <v>0</v>
      </c>
      <c r="C163" s="89">
        <v>0</v>
      </c>
    </row>
    <row r="164" spans="1:3">
      <c r="A164" s="10"/>
      <c r="B164" s="21">
        <f>+E119</f>
        <v>-1366.3041619643657</v>
      </c>
      <c r="C164" s="88">
        <f>+F119</f>
        <v>-9744.2982456140435</v>
      </c>
    </row>
    <row r="165" spans="1:3">
      <c r="A165" s="10">
        <f>+G130</f>
        <v>-3.7097654118930713E-2</v>
      </c>
      <c r="B165" s="87">
        <v>0</v>
      </c>
      <c r="C165" s="89">
        <v>0</v>
      </c>
    </row>
    <row r="166" spans="1:3">
      <c r="A166" s="10"/>
      <c r="B166" s="21">
        <f>+E130</f>
        <v>-3.3530571992110461</v>
      </c>
      <c r="C166" s="88">
        <f>+F130</f>
        <v>90.384615384615401</v>
      </c>
    </row>
    <row r="167" spans="1:3">
      <c r="A167" s="10">
        <f>+G141</f>
        <v>-3.6684379893090213E-33</v>
      </c>
      <c r="B167" s="87">
        <v>0</v>
      </c>
      <c r="C167" s="89">
        <v>0</v>
      </c>
    </row>
    <row r="168" spans="1:3" ht="13.5" thickBot="1">
      <c r="A168" s="20"/>
      <c r="B168" s="20">
        <f>+E141</f>
        <v>-3.6684379893090212E-31</v>
      </c>
      <c r="C168" s="90">
        <f>+F141</f>
        <v>100</v>
      </c>
    </row>
  </sheetData>
  <pageMargins left="0.67" right="0.75" top="0.39370078740157483" bottom="0.39370078740157483" header="0" footer="0"/>
  <pageSetup scale="70" orientation="portrait" horizontalDpi="300" verticalDpi="30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5"/>
  <sheetViews>
    <sheetView zoomScale="75" workbookViewId="0">
      <selection activeCell="B16" sqref="B16:B25"/>
    </sheetView>
  </sheetViews>
  <sheetFormatPr defaultColWidth="11.42578125" defaultRowHeight="12.75"/>
  <sheetData>
    <row r="1" spans="1:9" ht="18.75" thickBot="1">
      <c r="A1" s="116" t="s">
        <v>6</v>
      </c>
      <c r="B1" s="117" t="s">
        <v>10</v>
      </c>
      <c r="C1" s="115" t="s">
        <v>14</v>
      </c>
      <c r="D1" s="115" t="s">
        <v>17</v>
      </c>
      <c r="E1" s="115" t="s">
        <v>19</v>
      </c>
      <c r="F1" s="115" t="s">
        <v>21</v>
      </c>
      <c r="G1" s="118" t="s">
        <v>23</v>
      </c>
      <c r="H1" s="118" t="s">
        <v>39</v>
      </c>
      <c r="I1" s="119" t="s">
        <v>25</v>
      </c>
    </row>
    <row r="2" spans="1:9" ht="13.5" thickBot="1">
      <c r="A2" s="2">
        <f>+interacción!B2</f>
        <v>-100</v>
      </c>
      <c r="B2" s="2">
        <f>+interacción!C2</f>
        <v>0.5</v>
      </c>
      <c r="C2" s="2">
        <f>+interacción!D2</f>
        <v>-8</v>
      </c>
      <c r="D2" s="2">
        <f>+interacción!E2</f>
        <v>-5</v>
      </c>
      <c r="E2" s="2">
        <f>+interacción!F2</f>
        <v>2.5000000000000001E-2</v>
      </c>
      <c r="F2" s="2">
        <f>+interacción!G2</f>
        <v>0.13</v>
      </c>
      <c r="G2" s="2">
        <f>+interacción!H2</f>
        <v>20000</v>
      </c>
      <c r="H2" s="92">
        <f>+interacción!I2</f>
        <v>0.25</v>
      </c>
      <c r="I2" s="2">
        <f>+interacción!J2</f>
        <v>0.8</v>
      </c>
    </row>
    <row r="3" spans="1:9">
      <c r="A3" s="125"/>
      <c r="B3" s="125"/>
      <c r="C3" s="125"/>
      <c r="D3" s="125"/>
      <c r="E3" s="55"/>
      <c r="F3" s="55"/>
      <c r="G3" s="55"/>
      <c r="H3" s="101"/>
      <c r="I3" s="55"/>
    </row>
    <row r="4" spans="1:9">
      <c r="A4" s="3" t="s">
        <v>51</v>
      </c>
      <c r="B4" s="3" t="s">
        <v>40</v>
      </c>
      <c r="C4" s="3" t="s">
        <v>41</v>
      </c>
      <c r="D4" s="3" t="s">
        <v>29</v>
      </c>
    </row>
    <row r="5" spans="1:9">
      <c r="A5" s="99">
        <v>0</v>
      </c>
      <c r="B5" s="99">
        <f>($D$2-$E$2)*A5*$H$2*$I$2*(-0.5+A5/2)*$G$2*$I$2</f>
        <v>0</v>
      </c>
      <c r="C5" s="99">
        <f>($D$2*A5+$E$2*(1-A5))*$G$2*$H$2*$I$2</f>
        <v>100</v>
      </c>
      <c r="D5" s="99">
        <f>B5/C5</f>
        <v>0</v>
      </c>
    </row>
    <row r="6" spans="1:9">
      <c r="A6" s="99">
        <f>A5+1/10</f>
        <v>0.1</v>
      </c>
      <c r="B6" s="99">
        <f t="shared" ref="B6:B15" si="0">($D$2-$E$2)*A6*$H$2*$I$2*(-0.5+A6/2)*$G$2*$I$2</f>
        <v>723.60000000000014</v>
      </c>
      <c r="C6" s="99">
        <f t="shared" ref="C6:C15" si="1">($D$2*A6+$E$2*(1-A6))*$G$2*$H$2*$I$2</f>
        <v>-1910</v>
      </c>
      <c r="D6" s="99">
        <f t="shared" ref="D6:D25" si="2">B6/C6</f>
        <v>-0.37884816753926709</v>
      </c>
    </row>
    <row r="7" spans="1:9">
      <c r="A7" s="99">
        <f t="shared" ref="A7:A15" si="3">A6+1/10</f>
        <v>0.2</v>
      </c>
      <c r="B7" s="99">
        <f t="shared" si="0"/>
        <v>1286.4000000000005</v>
      </c>
      <c r="C7" s="99">
        <f t="shared" si="1"/>
        <v>-3920</v>
      </c>
      <c r="D7" s="99">
        <f t="shared" si="2"/>
        <v>-0.32816326530612261</v>
      </c>
      <c r="H7">
        <f>904.5*0.8</f>
        <v>723.6</v>
      </c>
      <c r="I7">
        <f>1910*0.8</f>
        <v>1528</v>
      </c>
    </row>
    <row r="8" spans="1:9">
      <c r="A8" s="99">
        <f t="shared" si="3"/>
        <v>0.30000000000000004</v>
      </c>
      <c r="B8" s="99">
        <f t="shared" si="0"/>
        <v>1688.4000000000008</v>
      </c>
      <c r="C8" s="99">
        <f t="shared" si="1"/>
        <v>-5930.0000000000009</v>
      </c>
      <c r="D8" s="99">
        <f t="shared" si="2"/>
        <v>-0.28472175379426651</v>
      </c>
    </row>
    <row r="9" spans="1:9">
      <c r="A9" s="99">
        <f t="shared" si="3"/>
        <v>0.4</v>
      </c>
      <c r="B9" s="99">
        <f t="shared" si="0"/>
        <v>1929.6000000000004</v>
      </c>
      <c r="C9" s="99">
        <f t="shared" si="1"/>
        <v>-7940</v>
      </c>
      <c r="D9" s="99">
        <f t="shared" si="2"/>
        <v>-0.24302267002518896</v>
      </c>
    </row>
    <row r="10" spans="1:9">
      <c r="A10" s="99">
        <f t="shared" si="3"/>
        <v>0.5</v>
      </c>
      <c r="B10" s="99">
        <f t="shared" si="0"/>
        <v>2010.0000000000005</v>
      </c>
      <c r="C10" s="99">
        <f t="shared" si="1"/>
        <v>-9950</v>
      </c>
      <c r="D10" s="99">
        <f t="shared" si="2"/>
        <v>-0.20201005025125632</v>
      </c>
    </row>
    <row r="11" spans="1:9">
      <c r="A11" s="99">
        <f t="shared" si="3"/>
        <v>0.6</v>
      </c>
      <c r="B11" s="99">
        <f t="shared" si="0"/>
        <v>1929.6000000000004</v>
      </c>
      <c r="C11" s="99">
        <f t="shared" si="1"/>
        <v>-11960.000000000002</v>
      </c>
      <c r="D11" s="99">
        <f t="shared" si="2"/>
        <v>-0.16133779264214049</v>
      </c>
    </row>
    <row r="12" spans="1:9">
      <c r="A12" s="99">
        <f t="shared" si="3"/>
        <v>0.7</v>
      </c>
      <c r="B12" s="99">
        <f t="shared" si="0"/>
        <v>1688.4000000000005</v>
      </c>
      <c r="C12" s="99">
        <f t="shared" si="1"/>
        <v>-13970</v>
      </c>
      <c r="D12" s="99">
        <f t="shared" si="2"/>
        <v>-0.12085898353614893</v>
      </c>
    </row>
    <row r="13" spans="1:9">
      <c r="A13" s="99">
        <f t="shared" si="3"/>
        <v>0.79999999999999993</v>
      </c>
      <c r="B13" s="99">
        <f t="shared" si="0"/>
        <v>1286.4000000000005</v>
      </c>
      <c r="C13" s="99">
        <f t="shared" si="1"/>
        <v>-15980</v>
      </c>
      <c r="D13" s="99">
        <f t="shared" si="2"/>
        <v>-8.0500625782227817E-2</v>
      </c>
    </row>
    <row r="14" spans="1:9">
      <c r="A14" s="99">
        <f t="shared" si="3"/>
        <v>0.89999999999999991</v>
      </c>
      <c r="B14" s="99">
        <f t="shared" si="0"/>
        <v>723.60000000000082</v>
      </c>
      <c r="C14" s="99">
        <f t="shared" si="1"/>
        <v>-17989.999999999996</v>
      </c>
      <c r="D14" s="99">
        <f t="shared" si="2"/>
        <v>-4.0222345747637632E-2</v>
      </c>
    </row>
    <row r="15" spans="1:9">
      <c r="A15" s="99">
        <f t="shared" si="3"/>
        <v>0.99999999999999989</v>
      </c>
      <c r="B15" s="99">
        <f t="shared" si="0"/>
        <v>8.9261931179862576E-13</v>
      </c>
      <c r="C15" s="99">
        <f t="shared" si="1"/>
        <v>-20000</v>
      </c>
      <c r="D15" s="99">
        <f t="shared" si="2"/>
        <v>-4.4630965589931289E-17</v>
      </c>
    </row>
    <row r="16" spans="1:9">
      <c r="A16" s="99">
        <f>A15-1/10</f>
        <v>0.89999999999999991</v>
      </c>
      <c r="B16" s="99">
        <f>-($D$2-$E$2)*A16*$H$2*$I$2*(-0.5+A16/2)*$G$2*$I$2</f>
        <v>-723.60000000000082</v>
      </c>
      <c r="C16" s="99">
        <f>($D$2*A16+$E$2*(1-A16))*$G$2*$H$2*$I$2</f>
        <v>-17989.999999999996</v>
      </c>
      <c r="D16" s="99">
        <f t="shared" si="2"/>
        <v>4.0222345747637632E-2</v>
      </c>
    </row>
    <row r="17" spans="1:4">
      <c r="A17" s="99">
        <f t="shared" ref="A17:A24" si="4">A16-1/10</f>
        <v>0.79999999999999993</v>
      </c>
      <c r="B17" s="99">
        <f t="shared" ref="B17:B25" si="5">-($D$2-$E$2)*A17*$H$2*$I$2*(-0.5+A17/2)*$G$2*$I$2</f>
        <v>-1286.4000000000005</v>
      </c>
      <c r="C17" s="99">
        <f t="shared" ref="C17:C25" si="6">($D$2*A17+$E$2*(1-A17))*$G$2*$H$2*$I$2</f>
        <v>-15980</v>
      </c>
      <c r="D17" s="99">
        <f t="shared" si="2"/>
        <v>8.0500625782227817E-2</v>
      </c>
    </row>
    <row r="18" spans="1:4">
      <c r="A18" s="99">
        <f t="shared" si="4"/>
        <v>0.7</v>
      </c>
      <c r="B18" s="99">
        <f t="shared" si="5"/>
        <v>-1688.4000000000005</v>
      </c>
      <c r="C18" s="99">
        <f t="shared" si="6"/>
        <v>-13970</v>
      </c>
      <c r="D18" s="99">
        <f t="shared" si="2"/>
        <v>0.12085898353614893</v>
      </c>
    </row>
    <row r="19" spans="1:4">
      <c r="A19" s="99">
        <f t="shared" si="4"/>
        <v>0.6</v>
      </c>
      <c r="B19" s="99">
        <f t="shared" si="5"/>
        <v>-1929.6000000000004</v>
      </c>
      <c r="C19" s="99">
        <f t="shared" si="6"/>
        <v>-11960.000000000002</v>
      </c>
      <c r="D19" s="99">
        <f t="shared" si="2"/>
        <v>0.16133779264214049</v>
      </c>
    </row>
    <row r="20" spans="1:4">
      <c r="A20" s="99">
        <f>A19-1/10</f>
        <v>0.5</v>
      </c>
      <c r="B20" s="99">
        <f t="shared" si="5"/>
        <v>-2010.0000000000005</v>
      </c>
      <c r="C20" s="99">
        <f t="shared" si="6"/>
        <v>-9950</v>
      </c>
      <c r="D20" s="99">
        <f t="shared" si="2"/>
        <v>0.20201005025125632</v>
      </c>
    </row>
    <row r="21" spans="1:4">
      <c r="A21" s="99">
        <f t="shared" si="4"/>
        <v>0.4</v>
      </c>
      <c r="B21" s="99">
        <f t="shared" si="5"/>
        <v>-1929.6000000000004</v>
      </c>
      <c r="C21" s="99">
        <f t="shared" si="6"/>
        <v>-7940</v>
      </c>
      <c r="D21" s="99">
        <f t="shared" si="2"/>
        <v>0.24302267002518896</v>
      </c>
    </row>
    <row r="22" spans="1:4">
      <c r="A22" s="99">
        <f t="shared" si="4"/>
        <v>0.30000000000000004</v>
      </c>
      <c r="B22" s="99">
        <f t="shared" si="5"/>
        <v>-1688.4000000000008</v>
      </c>
      <c r="C22" s="99">
        <f t="shared" si="6"/>
        <v>-5930.0000000000009</v>
      </c>
      <c r="D22" s="99">
        <f t="shared" si="2"/>
        <v>0.28472175379426651</v>
      </c>
    </row>
    <row r="23" spans="1:4">
      <c r="A23" s="99">
        <f t="shared" si="4"/>
        <v>0.20000000000000004</v>
      </c>
      <c r="B23" s="99">
        <f t="shared" si="5"/>
        <v>-1286.4000000000005</v>
      </c>
      <c r="C23" s="99">
        <f t="shared" si="6"/>
        <v>-3920.0000000000009</v>
      </c>
      <c r="D23" s="99">
        <f t="shared" si="2"/>
        <v>0.3281632653061225</v>
      </c>
    </row>
    <row r="24" spans="1:4">
      <c r="A24" s="99">
        <f t="shared" si="4"/>
        <v>0.10000000000000003</v>
      </c>
      <c r="B24" s="99">
        <f t="shared" si="5"/>
        <v>-723.60000000000014</v>
      </c>
      <c r="C24" s="99">
        <f t="shared" si="6"/>
        <v>-1910.0000000000009</v>
      </c>
      <c r="D24" s="99">
        <f t="shared" si="2"/>
        <v>0.37884816753926692</v>
      </c>
    </row>
    <row r="25" spans="1:4">
      <c r="A25" s="99">
        <f>A24-1/10</f>
        <v>0</v>
      </c>
      <c r="B25" s="99">
        <f t="shared" si="5"/>
        <v>0</v>
      </c>
      <c r="C25" s="99">
        <f t="shared" si="6"/>
        <v>100</v>
      </c>
      <c r="D25" s="99">
        <f t="shared" si="2"/>
        <v>0</v>
      </c>
    </row>
  </sheetData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introducción</vt:lpstr>
      <vt:lpstr>interacción</vt:lpstr>
      <vt:lpstr>excentricidad</vt:lpstr>
      <vt:lpstr>penetración= 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Sosti, Luis/BUA</cp:lastModifiedBy>
  <cp:lastPrinted>2001-09-29T18:02:36Z</cp:lastPrinted>
  <dcterms:created xsi:type="dcterms:W3CDTF">2000-06-08T22:01:43Z</dcterms:created>
  <dcterms:modified xsi:type="dcterms:W3CDTF">2013-09-06T23:22:42Z</dcterms:modified>
</cp:coreProperties>
</file>