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ink/ink1.xml" ContentType="application/inkml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2.xml" ContentType="application/vnd.openxmlformats-officedocument.spreadsheetml.comment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1. INGENIERIA\02 CLASES Y PRESENTACIONES\01 MECANICA DE SUELOS\Clases Practicas\M3\"/>
    </mc:Choice>
  </mc:AlternateContent>
  <xr:revisionPtr revIDLastSave="0" documentId="13_ncr:1_{84B08B5B-92C6-439D-857D-3B25E58D4E45}" xr6:coauthVersionLast="47" xr6:coauthVersionMax="47" xr10:uidLastSave="{00000000-0000-0000-0000-000000000000}"/>
  <bookViews>
    <workbookView xWindow="-110" yWindow="-110" windowWidth="24220" windowHeight="15620" activeTab="1" xr2:uid="{9162E132-0D63-6B43-80B7-EF473B482DF0}"/>
  </bookViews>
  <sheets>
    <sheet name="E_1.2" sheetId="13" r:id="rId1"/>
    <sheet name="E_1.3" sheetId="1" r:id="rId2"/>
    <sheet name="ej. 1.3" sheetId="3" state="hidden" r:id="rId3"/>
    <sheet name="ej. 1.4" sheetId="2" state="hidden" r:id="rId4"/>
    <sheet name="ej 1.4 - newmark" sheetId="4" state="hidden" r:id="rId5"/>
    <sheet name="ej. 5.1" sheetId="5" state="hidden" r:id="rId6"/>
    <sheet name="ej 5.2" sheetId="6" state="hidden" r:id="rId7"/>
    <sheet name="ej 5.3" sheetId="8" state="hidden" r:id="rId8"/>
    <sheet name="ej 5.4" sheetId="9" state="hidden" r:id="rId9"/>
    <sheet name="ANEXO BASES" sheetId="10" state="hidden" r:id="rId10"/>
    <sheet name="ej ppt 3" sheetId="11" state="hidden" r:id="rId11"/>
    <sheet name="ej ppt 4" sheetId="12" state="hidden" r:id="rId12"/>
  </sheets>
  <externalReferences>
    <externalReference r:id="rId13"/>
  </externalReferences>
  <definedNames>
    <definedName name="_xlnm.Print_Area" localSheetId="1">'E_1.3'!$A$102:$P$161</definedName>
    <definedName name="_xlnm.Print_Area" localSheetId="4">'ej 1.4 - newmark'!$A$1:$R$72</definedName>
    <definedName name="_xlnm.Print_Area" localSheetId="8">'ej 5.4'!$B$4:$M$26</definedName>
    <definedName name="_xlnm.Print_Area" localSheetId="10">'ej ppt 3'!$I$26:$N$32</definedName>
    <definedName name="_xlnm.Print_Area" localSheetId="11">'ej ppt 4'!$A$1:$G$38</definedName>
    <definedName name="_xlnm.Print_Area" localSheetId="3">'ej. 1.4'!$A$18:$L$62</definedName>
    <definedName name="Print_Area_2" localSheetId="8">'[1]pilote on'!#REF!</definedName>
    <definedName name="Print_Area_2" localSheetId="10">'[1]pilote on'!#REF!</definedName>
    <definedName name="Print_Area_2">'[1]pilote on'!#REF!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9" i="1" l="1"/>
  <c r="E43" i="1"/>
  <c r="E52" i="1"/>
  <c r="D51" i="1"/>
  <c r="D50" i="1"/>
  <c r="D49" i="1"/>
  <c r="B40" i="1"/>
  <c r="B39" i="1"/>
  <c r="B38" i="1"/>
  <c r="B37" i="1"/>
  <c r="C49" i="1"/>
  <c r="C48" i="1"/>
  <c r="C46" i="1"/>
  <c r="D50" i="13"/>
  <c r="C49" i="13"/>
  <c r="B47" i="13"/>
  <c r="B40" i="13"/>
  <c r="B39" i="13"/>
  <c r="B37" i="13"/>
  <c r="E46" i="13" l="1"/>
  <c r="G46" i="13" s="1"/>
  <c r="B45" i="13"/>
  <c r="E47" i="13"/>
  <c r="G47" i="13" s="1"/>
  <c r="E48" i="13"/>
  <c r="E49" i="13"/>
  <c r="G49" i="13" s="1"/>
  <c r="E50" i="13"/>
  <c r="G50" i="13" s="1"/>
  <c r="E45" i="13"/>
  <c r="E58" i="13"/>
  <c r="G58" i="13" s="1"/>
  <c r="B46" i="1"/>
  <c r="G48" i="13"/>
  <c r="G45" i="13"/>
  <c r="C45" i="13"/>
  <c r="D45" i="13" s="1"/>
  <c r="F45" i="13" s="1"/>
  <c r="H45" i="13" s="1"/>
  <c r="I45" i="13" s="1"/>
  <c r="B84" i="13"/>
  <c r="C84" i="13" s="1"/>
  <c r="B85" i="13"/>
  <c r="C85" i="13" s="1"/>
  <c r="B75" i="13"/>
  <c r="C75" i="13" s="1"/>
  <c r="B76" i="13"/>
  <c r="C76" i="13" s="1"/>
  <c r="B77" i="13"/>
  <c r="C77" i="13" s="1"/>
  <c r="B78" i="13"/>
  <c r="C78" i="13" s="1"/>
  <c r="B79" i="13"/>
  <c r="C79" i="13" s="1"/>
  <c r="B80" i="13"/>
  <c r="C80" i="13" s="1"/>
  <c r="D80" i="13" s="1"/>
  <c r="B81" i="13"/>
  <c r="C81" i="13" s="1"/>
  <c r="B82" i="13"/>
  <c r="C82" i="13" s="1"/>
  <c r="B83" i="13"/>
  <c r="C83" i="13" s="1"/>
  <c r="B64" i="13"/>
  <c r="C64" i="13" s="1"/>
  <c r="B65" i="13"/>
  <c r="C65" i="13" s="1"/>
  <c r="B66" i="13"/>
  <c r="C66" i="13" s="1"/>
  <c r="B67" i="13"/>
  <c r="C67" i="13" s="1"/>
  <c r="B68" i="13"/>
  <c r="C68" i="13" s="1"/>
  <c r="D68" i="13" s="1"/>
  <c r="B69" i="13"/>
  <c r="C69" i="13" s="1"/>
  <c r="B70" i="13"/>
  <c r="C70" i="13" s="1"/>
  <c r="B71" i="13"/>
  <c r="C71" i="13" s="1"/>
  <c r="B72" i="13"/>
  <c r="C72" i="13" s="1"/>
  <c r="B73" i="13"/>
  <c r="C73" i="13" s="1"/>
  <c r="B74" i="13"/>
  <c r="C74" i="13" s="1"/>
  <c r="B57" i="13"/>
  <c r="C57" i="13" s="1"/>
  <c r="B58" i="13"/>
  <c r="C58" i="13" s="1"/>
  <c r="D58" i="13" s="1"/>
  <c r="B59" i="13"/>
  <c r="C59" i="13" s="1"/>
  <c r="B60" i="13"/>
  <c r="C60" i="13" s="1"/>
  <c r="B61" i="13"/>
  <c r="C61" i="13" s="1"/>
  <c r="B62" i="13"/>
  <c r="C62" i="13" s="1"/>
  <c r="B63" i="13"/>
  <c r="C63" i="13" s="1"/>
  <c r="B46" i="13"/>
  <c r="C46" i="13" s="1"/>
  <c r="C47" i="13"/>
  <c r="B48" i="13"/>
  <c r="C48" i="13" s="1"/>
  <c r="B49" i="13"/>
  <c r="B50" i="13"/>
  <c r="C50" i="13" s="1"/>
  <c r="B51" i="13"/>
  <c r="C51" i="13" s="1"/>
  <c r="B52" i="13"/>
  <c r="C52" i="13" s="1"/>
  <c r="B53" i="13"/>
  <c r="C53" i="13" s="1"/>
  <c r="B54" i="13"/>
  <c r="C54" i="13" s="1"/>
  <c r="B55" i="13"/>
  <c r="C55" i="13" s="1"/>
  <c r="D55" i="13" s="1"/>
  <c r="B56" i="13"/>
  <c r="C56" i="13" s="1"/>
  <c r="B41" i="1"/>
  <c r="E70" i="12"/>
  <c r="E71" i="12"/>
  <c r="E72" i="12"/>
  <c r="G63" i="12"/>
  <c r="G64" i="12"/>
  <c r="G65" i="12"/>
  <c r="G62" i="12"/>
  <c r="E69" i="12"/>
  <c r="C70" i="12"/>
  <c r="C71" i="12"/>
  <c r="C72" i="12"/>
  <c r="C69" i="12"/>
  <c r="D69" i="12"/>
  <c r="F69" i="12"/>
  <c r="G69" i="12"/>
  <c r="G70" i="12"/>
  <c r="D71" i="12"/>
  <c r="G71" i="12"/>
  <c r="G72" i="12"/>
  <c r="G74" i="12"/>
  <c r="F72" i="12"/>
  <c r="F71" i="12"/>
  <c r="F70" i="12"/>
  <c r="D63" i="12"/>
  <c r="F62" i="12"/>
  <c r="D62" i="12"/>
  <c r="F63" i="12"/>
  <c r="B63" i="12"/>
  <c r="B64" i="12"/>
  <c r="B65" i="12"/>
  <c r="B62" i="12"/>
  <c r="G48" i="12"/>
  <c r="G44" i="12"/>
  <c r="G45" i="12"/>
  <c r="G46" i="12"/>
  <c r="G43" i="12"/>
  <c r="D44" i="12"/>
  <c r="E44" i="12"/>
  <c r="F44" i="12"/>
  <c r="D45" i="12"/>
  <c r="E45" i="12"/>
  <c r="F45" i="12"/>
  <c r="D46" i="12"/>
  <c r="E46" i="12"/>
  <c r="F46" i="12"/>
  <c r="E43" i="12"/>
  <c r="D43" i="12"/>
  <c r="F43" i="12"/>
  <c r="C44" i="12"/>
  <c r="C45" i="12"/>
  <c r="C46" i="12"/>
  <c r="C43" i="12"/>
  <c r="P13" i="9"/>
  <c r="G13" i="9"/>
  <c r="I13" i="9"/>
  <c r="I18" i="9"/>
  <c r="J18" i="9"/>
  <c r="M9" i="9"/>
  <c r="B18" i="9"/>
  <c r="T18" i="9"/>
  <c r="F10" i="12"/>
  <c r="B19" i="12"/>
  <c r="D19" i="12"/>
  <c r="B35" i="12"/>
  <c r="F11" i="12"/>
  <c r="B20" i="12"/>
  <c r="D20" i="12"/>
  <c r="B36" i="12"/>
  <c r="F12" i="12"/>
  <c r="B21" i="12"/>
  <c r="D21" i="12"/>
  <c r="B37" i="12"/>
  <c r="F9" i="12"/>
  <c r="B18" i="12"/>
  <c r="D18" i="12"/>
  <c r="B34" i="12"/>
  <c r="G21" i="12"/>
  <c r="G20" i="12"/>
  <c r="G18" i="12"/>
  <c r="F18" i="12"/>
  <c r="F19" i="12"/>
  <c r="F20" i="12"/>
  <c r="F21" i="12"/>
  <c r="G9" i="12"/>
  <c r="C18" i="12"/>
  <c r="E18" i="12"/>
  <c r="G10" i="12"/>
  <c r="C19" i="12"/>
  <c r="E19" i="12"/>
  <c r="G11" i="12"/>
  <c r="C20" i="12"/>
  <c r="E20" i="12"/>
  <c r="G12" i="12"/>
  <c r="C21" i="12"/>
  <c r="E21" i="12"/>
  <c r="M6" i="11"/>
  <c r="S14" i="11"/>
  <c r="T14" i="11"/>
  <c r="I18" i="11"/>
  <c r="B18" i="11"/>
  <c r="T18" i="11"/>
  <c r="J18" i="11"/>
  <c r="U14" i="11"/>
  <c r="H18" i="11"/>
  <c r="K18" i="11"/>
  <c r="T19" i="11"/>
  <c r="C18" i="11"/>
  <c r="E18" i="11"/>
  <c r="T20" i="11"/>
  <c r="F18" i="11"/>
  <c r="G18" i="11"/>
  <c r="T21" i="11"/>
  <c r="T22" i="11"/>
  <c r="F20" i="11"/>
  <c r="J32" i="11"/>
  <c r="J31" i="11"/>
  <c r="J30" i="11"/>
  <c r="L32" i="11"/>
  <c r="N32" i="11"/>
  <c r="M32" i="11"/>
  <c r="L31" i="11"/>
  <c r="N31" i="11"/>
  <c r="M31" i="11"/>
  <c r="L30" i="11"/>
  <c r="N30" i="11"/>
  <c r="M30" i="11"/>
  <c r="L29" i="11"/>
  <c r="L28" i="11"/>
  <c r="J29" i="11"/>
  <c r="N29" i="11"/>
  <c r="M29" i="11"/>
  <c r="J28" i="11"/>
  <c r="N28" i="11"/>
  <c r="M28" i="11"/>
  <c r="P13" i="11"/>
  <c r="G13" i="11"/>
  <c r="I13" i="11"/>
  <c r="H13" i="11"/>
  <c r="F21" i="11"/>
  <c r="M9" i="11"/>
  <c r="E14" i="11"/>
  <c r="F23" i="11"/>
  <c r="M7" i="11"/>
  <c r="B47" i="9"/>
  <c r="B32" i="9"/>
  <c r="B34" i="9"/>
  <c r="B48" i="9"/>
  <c r="B37" i="9"/>
  <c r="B38" i="9"/>
  <c r="B39" i="9"/>
  <c r="H13" i="9"/>
  <c r="T14" i="9"/>
  <c r="S14" i="9"/>
  <c r="M7" i="9"/>
  <c r="E14" i="9"/>
  <c r="F18" i="9"/>
  <c r="U14" i="9"/>
  <c r="E18" i="9"/>
  <c r="C18" i="9"/>
  <c r="H18" i="9"/>
  <c r="K18" i="9"/>
  <c r="T20" i="9"/>
  <c r="T19" i="9"/>
  <c r="G18" i="9"/>
  <c r="T21" i="9"/>
  <c r="T22" i="9"/>
  <c r="F20" i="9"/>
  <c r="F21" i="9"/>
  <c r="F23" i="9"/>
  <c r="M18" i="8"/>
  <c r="M16" i="8"/>
  <c r="P13" i="6"/>
  <c r="P14" i="6"/>
  <c r="P12" i="6"/>
  <c r="P8" i="8"/>
  <c r="Q8" i="8"/>
  <c r="R8" i="8"/>
  <c r="P9" i="8"/>
  <c r="Q9" i="8"/>
  <c r="R9" i="8"/>
  <c r="R7" i="8"/>
  <c r="Q7" i="8"/>
  <c r="P7" i="8"/>
  <c r="O9" i="8"/>
  <c r="O8" i="8"/>
  <c r="O7" i="8"/>
  <c r="L8" i="8"/>
  <c r="M8" i="8"/>
  <c r="L9" i="8"/>
  <c r="M9" i="8"/>
  <c r="L7" i="8"/>
  <c r="M7" i="8"/>
  <c r="L5" i="8"/>
  <c r="R12" i="6"/>
  <c r="R13" i="6"/>
  <c r="R11" i="6"/>
  <c r="P11" i="6"/>
  <c r="M49" i="6"/>
  <c r="N49" i="6"/>
  <c r="M50" i="6"/>
  <c r="N50" i="6"/>
  <c r="M51" i="6"/>
  <c r="N51" i="6"/>
  <c r="M40" i="6"/>
  <c r="N40" i="6"/>
  <c r="M41" i="6"/>
  <c r="N41" i="6"/>
  <c r="M42" i="6"/>
  <c r="N42" i="6"/>
  <c r="M43" i="6"/>
  <c r="N43" i="6"/>
  <c r="M44" i="6"/>
  <c r="N44" i="6"/>
  <c r="M45" i="6"/>
  <c r="N45" i="6"/>
  <c r="M46" i="6"/>
  <c r="N46" i="6"/>
  <c r="M47" i="6"/>
  <c r="N47" i="6"/>
  <c r="M48" i="6"/>
  <c r="N48" i="6"/>
  <c r="M12" i="6"/>
  <c r="N12" i="6"/>
  <c r="M13" i="6"/>
  <c r="N13" i="6"/>
  <c r="M14" i="6"/>
  <c r="N14" i="6"/>
  <c r="M15" i="6"/>
  <c r="N15" i="6"/>
  <c r="M16" i="6"/>
  <c r="N16" i="6"/>
  <c r="M17" i="6"/>
  <c r="N17" i="6"/>
  <c r="M18" i="6"/>
  <c r="N18" i="6"/>
  <c r="M19" i="6"/>
  <c r="N19" i="6"/>
  <c r="M20" i="6"/>
  <c r="N20" i="6"/>
  <c r="M21" i="6"/>
  <c r="N21" i="6"/>
  <c r="M22" i="6"/>
  <c r="N22" i="6"/>
  <c r="M23" i="6"/>
  <c r="N23" i="6"/>
  <c r="M24" i="6"/>
  <c r="N24" i="6"/>
  <c r="M25" i="6"/>
  <c r="N25" i="6"/>
  <c r="M26" i="6"/>
  <c r="N26" i="6"/>
  <c r="M27" i="6"/>
  <c r="N27" i="6"/>
  <c r="M28" i="6"/>
  <c r="N28" i="6"/>
  <c r="M29" i="6"/>
  <c r="N29" i="6"/>
  <c r="M30" i="6"/>
  <c r="N30" i="6"/>
  <c r="M31" i="6"/>
  <c r="N31" i="6"/>
  <c r="M32" i="6"/>
  <c r="N32" i="6"/>
  <c r="M33" i="6"/>
  <c r="N33" i="6"/>
  <c r="M34" i="6"/>
  <c r="N34" i="6"/>
  <c r="M35" i="6"/>
  <c r="N35" i="6"/>
  <c r="M36" i="6"/>
  <c r="N36" i="6"/>
  <c r="M37" i="6"/>
  <c r="N37" i="6"/>
  <c r="M38" i="6"/>
  <c r="N38" i="6"/>
  <c r="M39" i="6"/>
  <c r="N39" i="6"/>
  <c r="N11" i="6"/>
  <c r="M11" i="6"/>
  <c r="N9" i="6"/>
  <c r="M10" i="6"/>
  <c r="M9" i="6"/>
  <c r="E323" i="6"/>
  <c r="D323" i="6"/>
  <c r="E322" i="6"/>
  <c r="D322" i="6"/>
  <c r="E321" i="6"/>
  <c r="D321" i="6"/>
  <c r="E320" i="6"/>
  <c r="D320" i="6"/>
  <c r="E319" i="6"/>
  <c r="D319" i="6"/>
  <c r="E318" i="6"/>
  <c r="D318" i="6"/>
  <c r="E317" i="6"/>
  <c r="D317" i="6"/>
  <c r="E316" i="6"/>
  <c r="D316" i="6"/>
  <c r="E315" i="6"/>
  <c r="D315" i="6"/>
  <c r="E314" i="6"/>
  <c r="D314" i="6"/>
  <c r="E313" i="6"/>
  <c r="D313" i="6"/>
  <c r="E312" i="6"/>
  <c r="D312" i="6"/>
  <c r="E311" i="6"/>
  <c r="D311" i="6"/>
  <c r="E310" i="6"/>
  <c r="D310" i="6"/>
  <c r="E309" i="6"/>
  <c r="D309" i="6"/>
  <c r="E308" i="6"/>
  <c r="D308" i="6"/>
  <c r="E307" i="6"/>
  <c r="D307" i="6"/>
  <c r="E306" i="6"/>
  <c r="D306" i="6"/>
  <c r="E305" i="6"/>
  <c r="D305" i="6"/>
  <c r="E304" i="6"/>
  <c r="D304" i="6"/>
  <c r="E303" i="6"/>
  <c r="D303" i="6"/>
  <c r="E302" i="6"/>
  <c r="D302" i="6"/>
  <c r="E301" i="6"/>
  <c r="D301" i="6"/>
  <c r="E300" i="6"/>
  <c r="D300" i="6"/>
  <c r="E299" i="6"/>
  <c r="D299" i="6"/>
  <c r="E298" i="6"/>
  <c r="D298" i="6"/>
  <c r="E297" i="6"/>
  <c r="D297" i="6"/>
  <c r="E296" i="6"/>
  <c r="D296" i="6"/>
  <c r="E295" i="6"/>
  <c r="D295" i="6"/>
  <c r="E294" i="6"/>
  <c r="D294" i="6"/>
  <c r="E293" i="6"/>
  <c r="D293" i="6"/>
  <c r="E292" i="6"/>
  <c r="D292" i="6"/>
  <c r="E291" i="6"/>
  <c r="D291" i="6"/>
  <c r="E290" i="6"/>
  <c r="D290" i="6"/>
  <c r="E289" i="6"/>
  <c r="D289" i="6"/>
  <c r="E288" i="6"/>
  <c r="D288" i="6"/>
  <c r="E287" i="6"/>
  <c r="D287" i="6"/>
  <c r="E286" i="6"/>
  <c r="D286" i="6"/>
  <c r="E285" i="6"/>
  <c r="D285" i="6"/>
  <c r="E284" i="6"/>
  <c r="D284" i="6"/>
  <c r="E283" i="6"/>
  <c r="D283" i="6"/>
  <c r="E282" i="6"/>
  <c r="D282" i="6"/>
  <c r="E281" i="6"/>
  <c r="D281" i="6"/>
  <c r="E280" i="6"/>
  <c r="D280" i="6"/>
  <c r="E279" i="6"/>
  <c r="D279" i="6"/>
  <c r="E278" i="6"/>
  <c r="D278" i="6"/>
  <c r="E277" i="6"/>
  <c r="D277" i="6"/>
  <c r="E276" i="6"/>
  <c r="D276" i="6"/>
  <c r="E275" i="6"/>
  <c r="D275" i="6"/>
  <c r="E274" i="6"/>
  <c r="D274" i="6"/>
  <c r="E273" i="6"/>
  <c r="D273" i="6"/>
  <c r="E272" i="6"/>
  <c r="D272" i="6"/>
  <c r="E271" i="6"/>
  <c r="D271" i="6"/>
  <c r="E270" i="6"/>
  <c r="D270" i="6"/>
  <c r="E269" i="6"/>
  <c r="D269" i="6"/>
  <c r="E268" i="6"/>
  <c r="D268" i="6"/>
  <c r="E267" i="6"/>
  <c r="D267" i="6"/>
  <c r="E266" i="6"/>
  <c r="D266" i="6"/>
  <c r="E265" i="6"/>
  <c r="D265" i="6"/>
  <c r="E264" i="6"/>
  <c r="D264" i="6"/>
  <c r="E263" i="6"/>
  <c r="D263" i="6"/>
  <c r="E262" i="6"/>
  <c r="D262" i="6"/>
  <c r="E261" i="6"/>
  <c r="D261" i="6"/>
  <c r="E260" i="6"/>
  <c r="D260" i="6"/>
  <c r="E259" i="6"/>
  <c r="D259" i="6"/>
  <c r="E258" i="6"/>
  <c r="D258" i="6"/>
  <c r="E257" i="6"/>
  <c r="D257" i="6"/>
  <c r="E256" i="6"/>
  <c r="D256" i="6"/>
  <c r="E255" i="6"/>
  <c r="D255" i="6"/>
  <c r="E254" i="6"/>
  <c r="D254" i="6"/>
  <c r="E253" i="6"/>
  <c r="D253" i="6"/>
  <c r="E252" i="6"/>
  <c r="D252" i="6"/>
  <c r="E251" i="6"/>
  <c r="D251" i="6"/>
  <c r="E250" i="6"/>
  <c r="D250" i="6"/>
  <c r="E249" i="6"/>
  <c r="D249" i="6"/>
  <c r="E248" i="6"/>
  <c r="D248" i="6"/>
  <c r="E247" i="6"/>
  <c r="D247" i="6"/>
  <c r="E246" i="6"/>
  <c r="D246" i="6"/>
  <c r="E245" i="6"/>
  <c r="D245" i="6"/>
  <c r="E244" i="6"/>
  <c r="D244" i="6"/>
  <c r="E243" i="6"/>
  <c r="D243" i="6"/>
  <c r="E242" i="6"/>
  <c r="D242" i="6"/>
  <c r="E241" i="6"/>
  <c r="D241" i="6"/>
  <c r="E240" i="6"/>
  <c r="D240" i="6"/>
  <c r="E239" i="6"/>
  <c r="D239" i="6"/>
  <c r="E238" i="6"/>
  <c r="D238" i="6"/>
  <c r="E237" i="6"/>
  <c r="D237" i="6"/>
  <c r="E236" i="6"/>
  <c r="D236" i="6"/>
  <c r="E235" i="6"/>
  <c r="D235" i="6"/>
  <c r="E234" i="6"/>
  <c r="D234" i="6"/>
  <c r="E233" i="6"/>
  <c r="D233" i="6"/>
  <c r="E232" i="6"/>
  <c r="D232" i="6"/>
  <c r="E231" i="6"/>
  <c r="D231" i="6"/>
  <c r="E230" i="6"/>
  <c r="D230" i="6"/>
  <c r="E229" i="6"/>
  <c r="D229" i="6"/>
  <c r="E228" i="6"/>
  <c r="D228" i="6"/>
  <c r="E227" i="6"/>
  <c r="D227" i="6"/>
  <c r="E226" i="6"/>
  <c r="D226" i="6"/>
  <c r="E225" i="6"/>
  <c r="D225" i="6"/>
  <c r="E224" i="6"/>
  <c r="D224" i="6"/>
  <c r="E223" i="6"/>
  <c r="D223" i="6"/>
  <c r="E222" i="6"/>
  <c r="D222" i="6"/>
  <c r="E221" i="6"/>
  <c r="D221" i="6"/>
  <c r="E220" i="6"/>
  <c r="D220" i="6"/>
  <c r="E219" i="6"/>
  <c r="D219" i="6"/>
  <c r="E218" i="6"/>
  <c r="D218" i="6"/>
  <c r="E217" i="6"/>
  <c r="D217" i="6"/>
  <c r="E216" i="6"/>
  <c r="D216" i="6"/>
  <c r="E215" i="6"/>
  <c r="D215" i="6"/>
  <c r="E214" i="6"/>
  <c r="D214" i="6"/>
  <c r="E213" i="6"/>
  <c r="D213" i="6"/>
  <c r="E212" i="6"/>
  <c r="D212" i="6"/>
  <c r="E211" i="6"/>
  <c r="D211" i="6"/>
  <c r="E210" i="6"/>
  <c r="D210" i="6"/>
  <c r="E209" i="6"/>
  <c r="D209" i="6"/>
  <c r="E208" i="6"/>
  <c r="D208" i="6"/>
  <c r="E207" i="6"/>
  <c r="D207" i="6"/>
  <c r="E206" i="6"/>
  <c r="D206" i="6"/>
  <c r="E205" i="6"/>
  <c r="D205" i="6"/>
  <c r="E204" i="6"/>
  <c r="D204" i="6"/>
  <c r="E203" i="6"/>
  <c r="D203" i="6"/>
  <c r="E202" i="6"/>
  <c r="D202" i="6"/>
  <c r="E201" i="6"/>
  <c r="D201" i="6"/>
  <c r="E200" i="6"/>
  <c r="D200" i="6"/>
  <c r="E199" i="6"/>
  <c r="D199" i="6"/>
  <c r="E198" i="6"/>
  <c r="D198" i="6"/>
  <c r="E197" i="6"/>
  <c r="D197" i="6"/>
  <c r="E196" i="6"/>
  <c r="D196" i="6"/>
  <c r="E195" i="6"/>
  <c r="D195" i="6"/>
  <c r="E194" i="6"/>
  <c r="D194" i="6"/>
  <c r="E193" i="6"/>
  <c r="D193" i="6"/>
  <c r="E192" i="6"/>
  <c r="D192" i="6"/>
  <c r="E191" i="6"/>
  <c r="D191" i="6"/>
  <c r="E190" i="6"/>
  <c r="D190" i="6"/>
  <c r="E189" i="6"/>
  <c r="D189" i="6"/>
  <c r="E188" i="6"/>
  <c r="D188" i="6"/>
  <c r="E187" i="6"/>
  <c r="D187" i="6"/>
  <c r="E186" i="6"/>
  <c r="D186" i="6"/>
  <c r="E185" i="6"/>
  <c r="D185" i="6"/>
  <c r="E184" i="6"/>
  <c r="D184" i="6"/>
  <c r="E183" i="6"/>
  <c r="D183" i="6"/>
  <c r="E182" i="6"/>
  <c r="D182" i="6"/>
  <c r="E181" i="6"/>
  <c r="D181" i="6"/>
  <c r="E180" i="6"/>
  <c r="D180" i="6"/>
  <c r="E179" i="6"/>
  <c r="D179" i="6"/>
  <c r="E178" i="6"/>
  <c r="D178" i="6"/>
  <c r="E177" i="6"/>
  <c r="D177" i="6"/>
  <c r="E176" i="6"/>
  <c r="D176" i="6"/>
  <c r="E175" i="6"/>
  <c r="D175" i="6"/>
  <c r="E174" i="6"/>
  <c r="D174" i="6"/>
  <c r="E173" i="6"/>
  <c r="D173" i="6"/>
  <c r="E172" i="6"/>
  <c r="D172" i="6"/>
  <c r="E171" i="6"/>
  <c r="D171" i="6"/>
  <c r="E170" i="6"/>
  <c r="D170" i="6"/>
  <c r="E169" i="6"/>
  <c r="D169" i="6"/>
  <c r="E168" i="6"/>
  <c r="D168" i="6"/>
  <c r="E167" i="6"/>
  <c r="D167" i="6"/>
  <c r="E166" i="6"/>
  <c r="D166" i="6"/>
  <c r="E165" i="6"/>
  <c r="D165" i="6"/>
  <c r="E164" i="6"/>
  <c r="D164" i="6"/>
  <c r="E163" i="6"/>
  <c r="D163" i="6"/>
  <c r="E162" i="6"/>
  <c r="D162" i="6"/>
  <c r="E161" i="6"/>
  <c r="D161" i="6"/>
  <c r="E160" i="6"/>
  <c r="D160" i="6"/>
  <c r="E159" i="6"/>
  <c r="D159" i="6"/>
  <c r="E158" i="6"/>
  <c r="D158" i="6"/>
  <c r="E157" i="6"/>
  <c r="D157" i="6"/>
  <c r="E156" i="6"/>
  <c r="D156" i="6"/>
  <c r="E155" i="6"/>
  <c r="D155" i="6"/>
  <c r="E154" i="6"/>
  <c r="D154" i="6"/>
  <c r="E153" i="6"/>
  <c r="D153" i="6"/>
  <c r="E152" i="6"/>
  <c r="D152" i="6"/>
  <c r="E151" i="6"/>
  <c r="D151" i="6"/>
  <c r="E150" i="6"/>
  <c r="D150" i="6"/>
  <c r="E149" i="6"/>
  <c r="D149" i="6"/>
  <c r="E148" i="6"/>
  <c r="D148" i="6"/>
  <c r="E147" i="6"/>
  <c r="D147" i="6"/>
  <c r="E146" i="6"/>
  <c r="D146" i="6"/>
  <c r="E145" i="6"/>
  <c r="D145" i="6"/>
  <c r="E144" i="6"/>
  <c r="D144" i="6"/>
  <c r="E143" i="6"/>
  <c r="D143" i="6"/>
  <c r="E142" i="6"/>
  <c r="D142" i="6"/>
  <c r="E141" i="6"/>
  <c r="D141" i="6"/>
  <c r="E140" i="6"/>
  <c r="D140" i="6"/>
  <c r="E139" i="6"/>
  <c r="D139" i="6"/>
  <c r="E138" i="6"/>
  <c r="D138" i="6"/>
  <c r="E137" i="6"/>
  <c r="D137" i="6"/>
  <c r="E136" i="6"/>
  <c r="D136" i="6"/>
  <c r="E135" i="6"/>
  <c r="D135" i="6"/>
  <c r="E134" i="6"/>
  <c r="D134" i="6"/>
  <c r="E133" i="6"/>
  <c r="D133" i="6"/>
  <c r="E132" i="6"/>
  <c r="D132" i="6"/>
  <c r="E131" i="6"/>
  <c r="D131" i="6"/>
  <c r="E130" i="6"/>
  <c r="D130" i="6"/>
  <c r="E129" i="6"/>
  <c r="D129" i="6"/>
  <c r="E128" i="6"/>
  <c r="D128" i="6"/>
  <c r="E127" i="6"/>
  <c r="D127" i="6"/>
  <c r="E126" i="6"/>
  <c r="D126" i="6"/>
  <c r="E125" i="6"/>
  <c r="D125" i="6"/>
  <c r="E124" i="6"/>
  <c r="D124" i="6"/>
  <c r="E123" i="6"/>
  <c r="D123" i="6"/>
  <c r="E122" i="6"/>
  <c r="D122" i="6"/>
  <c r="E121" i="6"/>
  <c r="D121" i="6"/>
  <c r="E120" i="6"/>
  <c r="D120" i="6"/>
  <c r="E119" i="6"/>
  <c r="D119" i="6"/>
  <c r="E118" i="6"/>
  <c r="D118" i="6"/>
  <c r="E117" i="6"/>
  <c r="D117" i="6"/>
  <c r="E116" i="6"/>
  <c r="D116" i="6"/>
  <c r="E115" i="6"/>
  <c r="D115" i="6"/>
  <c r="E114" i="6"/>
  <c r="D114" i="6"/>
  <c r="E113" i="6"/>
  <c r="D113" i="6"/>
  <c r="E112" i="6"/>
  <c r="D112" i="6"/>
  <c r="E111" i="6"/>
  <c r="D111" i="6"/>
  <c r="E110" i="6"/>
  <c r="D110" i="6"/>
  <c r="E109" i="6"/>
  <c r="D109" i="6"/>
  <c r="E108" i="6"/>
  <c r="D108" i="6"/>
  <c r="E107" i="6"/>
  <c r="D107" i="6"/>
  <c r="E106" i="6"/>
  <c r="D106" i="6"/>
  <c r="E105" i="6"/>
  <c r="D105" i="6"/>
  <c r="E104" i="6"/>
  <c r="D104" i="6"/>
  <c r="E103" i="6"/>
  <c r="D103" i="6"/>
  <c r="E102" i="6"/>
  <c r="D102" i="6"/>
  <c r="E101" i="6"/>
  <c r="D101" i="6"/>
  <c r="E100" i="6"/>
  <c r="D100" i="6"/>
  <c r="E99" i="6"/>
  <c r="D99" i="6"/>
  <c r="E98" i="6"/>
  <c r="D98" i="6"/>
  <c r="E97" i="6"/>
  <c r="D97" i="6"/>
  <c r="E96" i="6"/>
  <c r="D96" i="6"/>
  <c r="E95" i="6"/>
  <c r="D95" i="6"/>
  <c r="E94" i="6"/>
  <c r="D94" i="6"/>
  <c r="E93" i="6"/>
  <c r="D93" i="6"/>
  <c r="E92" i="6"/>
  <c r="D92" i="6"/>
  <c r="E91" i="6"/>
  <c r="D91" i="6"/>
  <c r="E90" i="6"/>
  <c r="D90" i="6"/>
  <c r="E89" i="6"/>
  <c r="D89" i="6"/>
  <c r="E88" i="6"/>
  <c r="D88" i="6"/>
  <c r="E87" i="6"/>
  <c r="D87" i="6"/>
  <c r="E86" i="6"/>
  <c r="D86" i="6"/>
  <c r="E85" i="6"/>
  <c r="D85" i="6"/>
  <c r="E84" i="6"/>
  <c r="D84" i="6"/>
  <c r="E83" i="6"/>
  <c r="D83" i="6"/>
  <c r="E82" i="6"/>
  <c r="D82" i="6"/>
  <c r="E81" i="6"/>
  <c r="D81" i="6"/>
  <c r="E80" i="6"/>
  <c r="D80" i="6"/>
  <c r="E79" i="6"/>
  <c r="D79" i="6"/>
  <c r="E78" i="6"/>
  <c r="D78" i="6"/>
  <c r="E77" i="6"/>
  <c r="D77" i="6"/>
  <c r="E76" i="6"/>
  <c r="D76" i="6"/>
  <c r="E75" i="6"/>
  <c r="D75" i="6"/>
  <c r="E74" i="6"/>
  <c r="D74" i="6"/>
  <c r="E73" i="6"/>
  <c r="D73" i="6"/>
  <c r="E72" i="6"/>
  <c r="D72" i="6"/>
  <c r="E71" i="6"/>
  <c r="D71" i="6"/>
  <c r="E70" i="6"/>
  <c r="D70" i="6"/>
  <c r="E69" i="6"/>
  <c r="D69" i="6"/>
  <c r="E68" i="6"/>
  <c r="D68" i="6"/>
  <c r="E67" i="6"/>
  <c r="D67" i="6"/>
  <c r="E66" i="6"/>
  <c r="D66" i="6"/>
  <c r="E65" i="6"/>
  <c r="D65" i="6"/>
  <c r="E64" i="6"/>
  <c r="D64" i="6"/>
  <c r="E63" i="6"/>
  <c r="D63" i="6"/>
  <c r="E62" i="6"/>
  <c r="D62" i="6"/>
  <c r="E61" i="6"/>
  <c r="D61" i="6"/>
  <c r="E60" i="6"/>
  <c r="D60" i="6"/>
  <c r="E59" i="6"/>
  <c r="D59" i="6"/>
  <c r="E58" i="6"/>
  <c r="D58" i="6"/>
  <c r="E57" i="6"/>
  <c r="D57" i="6"/>
  <c r="E56" i="6"/>
  <c r="D56" i="6"/>
  <c r="E55" i="6"/>
  <c r="D55" i="6"/>
  <c r="E54" i="6"/>
  <c r="D54" i="6"/>
  <c r="E53" i="6"/>
  <c r="D53" i="6"/>
  <c r="E52" i="6"/>
  <c r="D52" i="6"/>
  <c r="E51" i="6"/>
  <c r="D51" i="6"/>
  <c r="E50" i="6"/>
  <c r="D50" i="6"/>
  <c r="E49" i="6"/>
  <c r="D49" i="6"/>
  <c r="E48" i="6"/>
  <c r="D48" i="6"/>
  <c r="E47" i="6"/>
  <c r="D47" i="6"/>
  <c r="E46" i="6"/>
  <c r="D46" i="6"/>
  <c r="E45" i="6"/>
  <c r="D45" i="6"/>
  <c r="E44" i="6"/>
  <c r="D44" i="6"/>
  <c r="E43" i="6"/>
  <c r="D43" i="6"/>
  <c r="E42" i="6"/>
  <c r="D42" i="6"/>
  <c r="E41" i="6"/>
  <c r="D41" i="6"/>
  <c r="E40" i="6"/>
  <c r="D40" i="6"/>
  <c r="E39" i="6"/>
  <c r="D39" i="6"/>
  <c r="E38" i="6"/>
  <c r="D38" i="6"/>
  <c r="E37" i="6"/>
  <c r="D37" i="6"/>
  <c r="E36" i="6"/>
  <c r="D36" i="6"/>
  <c r="E35" i="6"/>
  <c r="D35" i="6"/>
  <c r="E34" i="6"/>
  <c r="D34" i="6"/>
  <c r="E33" i="6"/>
  <c r="D33" i="6"/>
  <c r="E32" i="6"/>
  <c r="D32" i="6"/>
  <c r="E31" i="6"/>
  <c r="D31" i="6"/>
  <c r="E30" i="6"/>
  <c r="D30" i="6"/>
  <c r="E29" i="6"/>
  <c r="D29" i="6"/>
  <c r="E28" i="6"/>
  <c r="D28" i="6"/>
  <c r="E27" i="6"/>
  <c r="D27" i="6"/>
  <c r="E26" i="6"/>
  <c r="D26" i="6"/>
  <c r="E25" i="6"/>
  <c r="D25" i="6"/>
  <c r="E24" i="6"/>
  <c r="D24" i="6"/>
  <c r="E23" i="6"/>
  <c r="D23" i="6"/>
  <c r="E22" i="6"/>
  <c r="D22" i="6"/>
  <c r="E21" i="6"/>
  <c r="D21" i="6"/>
  <c r="E20" i="6"/>
  <c r="D20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M19" i="8"/>
  <c r="R14" i="6"/>
  <c r="P15" i="6"/>
  <c r="P16" i="6"/>
  <c r="R15" i="6"/>
  <c r="P17" i="6"/>
  <c r="R16" i="6"/>
  <c r="R17" i="6"/>
  <c r="P18" i="6"/>
  <c r="R18" i="6"/>
  <c r="P19" i="6"/>
  <c r="P20" i="6"/>
  <c r="R19" i="6"/>
  <c r="I6" i="5"/>
  <c r="H5" i="5"/>
  <c r="I5" i="5"/>
  <c r="J5" i="5"/>
  <c r="H6" i="5"/>
  <c r="J6" i="5"/>
  <c r="G5" i="5"/>
  <c r="G6" i="5"/>
  <c r="G7" i="5"/>
  <c r="P21" i="6"/>
  <c r="R20" i="6"/>
  <c r="J7" i="5"/>
  <c r="H7" i="5"/>
  <c r="I7" i="5"/>
  <c r="B61" i="2"/>
  <c r="B60" i="2"/>
  <c r="R21" i="6"/>
  <c r="P22" i="6"/>
  <c r="C61" i="2"/>
  <c r="C60" i="2"/>
  <c r="D53" i="2"/>
  <c r="E53" i="2"/>
  <c r="D54" i="2"/>
  <c r="E54" i="2"/>
  <c r="D55" i="2"/>
  <c r="E55" i="2"/>
  <c r="E52" i="2"/>
  <c r="D52" i="2"/>
  <c r="D46" i="2"/>
  <c r="E46" i="2"/>
  <c r="D47" i="2"/>
  <c r="E47" i="2"/>
  <c r="D48" i="2"/>
  <c r="E48" i="2"/>
  <c r="E45" i="2"/>
  <c r="D45" i="2"/>
  <c r="B16" i="2"/>
  <c r="Q47" i="4"/>
  <c r="C16" i="2"/>
  <c r="Q46" i="4"/>
  <c r="C15" i="2"/>
  <c r="Q45" i="4"/>
  <c r="C14" i="2"/>
  <c r="F47" i="4"/>
  <c r="F46" i="4"/>
  <c r="B15" i="2"/>
  <c r="C45" i="4"/>
  <c r="F45" i="4"/>
  <c r="B14" i="2"/>
  <c r="R22" i="6"/>
  <c r="P23" i="6"/>
  <c r="D74" i="3"/>
  <c r="D36" i="3"/>
  <c r="B10" i="2"/>
  <c r="E60" i="2"/>
  <c r="B9" i="2"/>
  <c r="D60" i="2"/>
  <c r="D106" i="1"/>
  <c r="E106" i="1" s="1"/>
  <c r="F106" i="1" s="1"/>
  <c r="A107" i="1"/>
  <c r="A108" i="1" s="1"/>
  <c r="B106" i="1"/>
  <c r="C106" i="1" s="1"/>
  <c r="R23" i="6"/>
  <c r="P24" i="6"/>
  <c r="F60" i="2"/>
  <c r="D14" i="2"/>
  <c r="E15" i="2"/>
  <c r="D16" i="2"/>
  <c r="E14" i="2"/>
  <c r="E61" i="2"/>
  <c r="D61" i="2"/>
  <c r="E16" i="2"/>
  <c r="D15" i="2"/>
  <c r="P25" i="6"/>
  <c r="R24" i="6"/>
  <c r="F14" i="2"/>
  <c r="F15" i="2"/>
  <c r="F16" i="2"/>
  <c r="F61" i="2"/>
  <c r="A47" i="1"/>
  <c r="A48" i="1" s="1"/>
  <c r="R25" i="6"/>
  <c r="P26" i="6"/>
  <c r="R26" i="6"/>
  <c r="P27" i="6"/>
  <c r="P28" i="6"/>
  <c r="R27" i="6"/>
  <c r="P29" i="6"/>
  <c r="R28" i="6"/>
  <c r="R29" i="6"/>
  <c r="P30" i="6"/>
  <c r="R30" i="6"/>
  <c r="P31" i="6"/>
  <c r="R31" i="6"/>
  <c r="P32" i="6"/>
  <c r="P33" i="6"/>
  <c r="R32" i="6"/>
  <c r="R33" i="6"/>
  <c r="P34" i="6"/>
  <c r="R34" i="6"/>
  <c r="P35" i="6"/>
  <c r="P36" i="6"/>
  <c r="R35" i="6"/>
  <c r="P37" i="6"/>
  <c r="R36" i="6"/>
  <c r="R37" i="6"/>
  <c r="P38" i="6"/>
  <c r="R38" i="6"/>
  <c r="P39" i="6"/>
  <c r="P40" i="6"/>
  <c r="R39" i="6"/>
  <c r="P41" i="6"/>
  <c r="R40" i="6"/>
  <c r="R41" i="6"/>
  <c r="P42" i="6"/>
  <c r="R42" i="6"/>
  <c r="P43" i="6"/>
  <c r="P44" i="6"/>
  <c r="R43" i="6"/>
  <c r="P45" i="6"/>
  <c r="R44" i="6"/>
  <c r="R45" i="6"/>
  <c r="P46" i="6"/>
  <c r="R46" i="6"/>
  <c r="P47" i="6"/>
  <c r="P48" i="6"/>
  <c r="R47" i="6"/>
  <c r="P49" i="6"/>
  <c r="R48" i="6"/>
  <c r="R49" i="6"/>
  <c r="P50" i="6"/>
  <c r="R50" i="6"/>
  <c r="P51" i="6"/>
  <c r="R51" i="6"/>
  <c r="U10" i="6"/>
  <c r="U11" i="6"/>
  <c r="U9" i="6"/>
  <c r="U12" i="6"/>
  <c r="C47" i="1" l="1"/>
  <c r="B47" i="1"/>
  <c r="G106" i="1"/>
  <c r="H106" i="1" s="1"/>
  <c r="B108" i="1"/>
  <c r="C108" i="1" s="1"/>
  <c r="D108" i="1"/>
  <c r="E108" i="1" s="1"/>
  <c r="F108" i="1" s="1"/>
  <c r="A109" i="1"/>
  <c r="D48" i="1"/>
  <c r="B48" i="1"/>
  <c r="A49" i="1"/>
  <c r="D107" i="1"/>
  <c r="E107" i="1" s="1"/>
  <c r="F107" i="1" s="1"/>
  <c r="B107" i="1"/>
  <c r="C107" i="1" s="1"/>
  <c r="D56" i="13"/>
  <c r="D54" i="13"/>
  <c r="D47" i="13"/>
  <c r="F47" i="13" s="1"/>
  <c r="D57" i="13"/>
  <c r="D67" i="13"/>
  <c r="D79" i="13"/>
  <c r="D74" i="13"/>
  <c r="D66" i="13"/>
  <c r="D78" i="13"/>
  <c r="E72" i="13"/>
  <c r="G72" i="13" s="1"/>
  <c r="E71" i="13"/>
  <c r="G71" i="13" s="1"/>
  <c r="E51" i="13"/>
  <c r="G51" i="13" s="1"/>
  <c r="E65" i="13"/>
  <c r="G65" i="13" s="1"/>
  <c r="E63" i="13"/>
  <c r="G63" i="13" s="1"/>
  <c r="F80" i="13"/>
  <c r="H80" i="13" s="1"/>
  <c r="I80" i="13" s="1"/>
  <c r="E81" i="13"/>
  <c r="G81" i="13" s="1"/>
  <c r="E64" i="13"/>
  <c r="G64" i="13" s="1"/>
  <c r="D63" i="13"/>
  <c r="E79" i="13"/>
  <c r="G79" i="13" s="1"/>
  <c r="E57" i="13"/>
  <c r="G57" i="13" s="1"/>
  <c r="E80" i="13"/>
  <c r="G80" i="13" s="1"/>
  <c r="E78" i="13"/>
  <c r="G78" i="13" s="1"/>
  <c r="E56" i="13"/>
  <c r="G56" i="13" s="1"/>
  <c r="E73" i="13"/>
  <c r="G73" i="13" s="1"/>
  <c r="E54" i="13"/>
  <c r="G54" i="13" s="1"/>
  <c r="D53" i="13"/>
  <c r="D73" i="13"/>
  <c r="D65" i="13"/>
  <c r="D77" i="13"/>
  <c r="D48" i="13"/>
  <c r="F48" i="13" s="1"/>
  <c r="H48" i="13" s="1"/>
  <c r="I48" i="13" s="1"/>
  <c r="E70" i="13"/>
  <c r="G70" i="13" s="1"/>
  <c r="E62" i="13"/>
  <c r="G62" i="13" s="1"/>
  <c r="E53" i="13"/>
  <c r="G53" i="13" s="1"/>
  <c r="D52" i="13"/>
  <c r="D62" i="13"/>
  <c r="D72" i="13"/>
  <c r="F72" i="13" s="1"/>
  <c r="H72" i="13" s="1"/>
  <c r="I72" i="13" s="1"/>
  <c r="D64" i="13"/>
  <c r="F64" i="13" s="1"/>
  <c r="H64" i="13" s="1"/>
  <c r="I64" i="13" s="1"/>
  <c r="D76" i="13"/>
  <c r="E85" i="13"/>
  <c r="G85" i="13" s="1"/>
  <c r="E77" i="13"/>
  <c r="G77" i="13" s="1"/>
  <c r="E69" i="13"/>
  <c r="G69" i="13" s="1"/>
  <c r="E61" i="13"/>
  <c r="G61" i="13" s="1"/>
  <c r="E52" i="13"/>
  <c r="G52" i="13" s="1"/>
  <c r="D46" i="13"/>
  <c r="F46" i="13" s="1"/>
  <c r="H46" i="13" s="1"/>
  <c r="I46" i="13" s="1"/>
  <c r="D51" i="13"/>
  <c r="D61" i="13"/>
  <c r="F61" i="13" s="1"/>
  <c r="H61" i="13" s="1"/>
  <c r="I61" i="13" s="1"/>
  <c r="D71" i="13"/>
  <c r="F71" i="13" s="1"/>
  <c r="H71" i="13" s="1"/>
  <c r="I71" i="13" s="1"/>
  <c r="D83" i="13"/>
  <c r="D75" i="13"/>
  <c r="E84" i="13"/>
  <c r="G84" i="13" s="1"/>
  <c r="E76" i="13"/>
  <c r="G76" i="13" s="1"/>
  <c r="E68" i="13"/>
  <c r="G68" i="13" s="1"/>
  <c r="E60" i="13"/>
  <c r="G60" i="13" s="1"/>
  <c r="F50" i="13"/>
  <c r="H50" i="13" s="1"/>
  <c r="I50" i="13" s="1"/>
  <c r="D60" i="13"/>
  <c r="D70" i="13"/>
  <c r="D82" i="13"/>
  <c r="D85" i="13"/>
  <c r="E83" i="13"/>
  <c r="G83" i="13" s="1"/>
  <c r="E75" i="13"/>
  <c r="F75" i="13" s="1"/>
  <c r="E67" i="13"/>
  <c r="F67" i="13" s="1"/>
  <c r="E59" i="13"/>
  <c r="G59" i="13" s="1"/>
  <c r="E55" i="13"/>
  <c r="F57" i="13"/>
  <c r="H57" i="13" s="1"/>
  <c r="I57" i="13" s="1"/>
  <c r="D49" i="13"/>
  <c r="D59" i="13"/>
  <c r="D69" i="13"/>
  <c r="F69" i="13" s="1"/>
  <c r="H69" i="13" s="1"/>
  <c r="I69" i="13" s="1"/>
  <c r="D81" i="13"/>
  <c r="D84" i="13"/>
  <c r="E82" i="13"/>
  <c r="G82" i="13" s="1"/>
  <c r="E74" i="13"/>
  <c r="G74" i="13" s="1"/>
  <c r="E66" i="13"/>
  <c r="G66" i="13" s="1"/>
  <c r="F49" i="13"/>
  <c r="H49" i="13" s="1"/>
  <c r="I49" i="13" s="1"/>
  <c r="H47" i="13"/>
  <c r="I47" i="13" s="1"/>
  <c r="F58" i="13"/>
  <c r="H58" i="13" s="1"/>
  <c r="I58" i="13" s="1"/>
  <c r="D47" i="1"/>
  <c r="D46" i="1"/>
  <c r="E46" i="1" s="1"/>
  <c r="G108" i="1" l="1"/>
  <c r="G107" i="1"/>
  <c r="H107" i="1" s="1"/>
  <c r="H108" i="1" s="1"/>
  <c r="B49" i="1"/>
  <c r="A50" i="1"/>
  <c r="A110" i="1"/>
  <c r="D109" i="1"/>
  <c r="E109" i="1" s="1"/>
  <c r="F109" i="1" s="1"/>
  <c r="B109" i="1"/>
  <c r="F82" i="13"/>
  <c r="H82" i="13" s="1"/>
  <c r="I82" i="13" s="1"/>
  <c r="F65" i="13"/>
  <c r="H65" i="13" s="1"/>
  <c r="I65" i="13" s="1"/>
  <c r="F78" i="13"/>
  <c r="H78" i="13" s="1"/>
  <c r="I78" i="13" s="1"/>
  <c r="F74" i="13"/>
  <c r="H74" i="13" s="1"/>
  <c r="I74" i="13" s="1"/>
  <c r="F51" i="13"/>
  <c r="F77" i="13"/>
  <c r="H77" i="13" s="1"/>
  <c r="I77" i="13" s="1"/>
  <c r="F81" i="13"/>
  <c r="H81" i="13" s="1"/>
  <c r="I81" i="13" s="1"/>
  <c r="F73" i="13"/>
  <c r="H73" i="13" s="1"/>
  <c r="I73" i="13" s="1"/>
  <c r="F66" i="13"/>
  <c r="H66" i="13" s="1"/>
  <c r="I66" i="13" s="1"/>
  <c r="F59" i="13"/>
  <c r="H59" i="13" s="1"/>
  <c r="I59" i="13" s="1"/>
  <c r="F63" i="13"/>
  <c r="H63" i="13" s="1"/>
  <c r="I63" i="13" s="1"/>
  <c r="F52" i="13"/>
  <c r="H52" i="13" s="1"/>
  <c r="I52" i="13" s="1"/>
  <c r="F56" i="13"/>
  <c r="H56" i="13" s="1"/>
  <c r="I56" i="13" s="1"/>
  <c r="G67" i="13"/>
  <c r="H67" i="13" s="1"/>
  <c r="I67" i="13" s="1"/>
  <c r="F68" i="13"/>
  <c r="H68" i="13" s="1"/>
  <c r="I68" i="13" s="1"/>
  <c r="G75" i="13"/>
  <c r="H75" i="13" s="1"/>
  <c r="I75" i="13" s="1"/>
  <c r="F79" i="13"/>
  <c r="H79" i="13" s="1"/>
  <c r="I79" i="13" s="1"/>
  <c r="F60" i="13"/>
  <c r="H60" i="13" s="1"/>
  <c r="I60" i="13" s="1"/>
  <c r="F84" i="13"/>
  <c r="H84" i="13" s="1"/>
  <c r="I84" i="13" s="1"/>
  <c r="F54" i="13"/>
  <c r="H54" i="13" s="1"/>
  <c r="I54" i="13" s="1"/>
  <c r="F55" i="13"/>
  <c r="G55" i="13"/>
  <c r="F83" i="13"/>
  <c r="H83" i="13" s="1"/>
  <c r="I83" i="13" s="1"/>
  <c r="H51" i="13"/>
  <c r="I51" i="13" s="1"/>
  <c r="I86" i="13" s="1"/>
  <c r="F62" i="13"/>
  <c r="H62" i="13" s="1"/>
  <c r="I62" i="13" s="1"/>
  <c r="F76" i="13"/>
  <c r="F85" i="13"/>
  <c r="H85" i="13" s="1"/>
  <c r="I85" i="13" s="1"/>
  <c r="F70" i="13"/>
  <c r="H70" i="13" s="1"/>
  <c r="I70" i="13" s="1"/>
  <c r="F53" i="13"/>
  <c r="H53" i="13" s="1"/>
  <c r="I53" i="13" s="1"/>
  <c r="E47" i="1"/>
  <c r="E48" i="1" s="1"/>
  <c r="E49" i="1" l="1"/>
  <c r="G109" i="1"/>
  <c r="H109" i="1" s="1"/>
  <c r="B110" i="1"/>
  <c r="C110" i="1" s="1"/>
  <c r="D110" i="1"/>
  <c r="E110" i="1" s="1"/>
  <c r="F110" i="1" s="1"/>
  <c r="A111" i="1"/>
  <c r="C50" i="1"/>
  <c r="A51" i="1"/>
  <c r="B50" i="1"/>
  <c r="H76" i="13"/>
  <c r="I76" i="13" s="1"/>
  <c r="H55" i="13"/>
  <c r="I55" i="13" s="1"/>
  <c r="G110" i="1" l="1"/>
  <c r="E50" i="1"/>
  <c r="A112" i="1"/>
  <c r="D111" i="1"/>
  <c r="E111" i="1" s="1"/>
  <c r="F111" i="1" s="1"/>
  <c r="B111" i="1"/>
  <c r="C111" i="1" s="1"/>
  <c r="B51" i="1"/>
  <c r="C51" i="1"/>
  <c r="A52" i="1"/>
  <c r="H110" i="1"/>
  <c r="C52" i="1" l="1"/>
  <c r="B52" i="1"/>
  <c r="A53" i="1"/>
  <c r="G111" i="1"/>
  <c r="B112" i="1"/>
  <c r="C112" i="1" s="1"/>
  <c r="D112" i="1"/>
  <c r="E112" i="1" s="1"/>
  <c r="F112" i="1" s="1"/>
  <c r="A113" i="1"/>
  <c r="H111" i="1"/>
  <c r="E51" i="1"/>
  <c r="G112" i="1" l="1"/>
  <c r="B53" i="1"/>
  <c r="C53" i="1"/>
  <c r="D53" i="1" s="1"/>
  <c r="A54" i="1"/>
  <c r="H112" i="1"/>
  <c r="D113" i="1"/>
  <c r="E113" i="1" s="1"/>
  <c r="F113" i="1" s="1"/>
  <c r="A114" i="1"/>
  <c r="B113" i="1"/>
  <c r="C113" i="1" s="1"/>
  <c r="D52" i="1"/>
  <c r="E53" i="1" l="1"/>
  <c r="D114" i="1"/>
  <c r="E114" i="1" s="1"/>
  <c r="F114" i="1" s="1"/>
  <c r="B114" i="1"/>
  <c r="C114" i="1" s="1"/>
  <c r="A115" i="1"/>
  <c r="G113" i="1"/>
  <c r="H113" i="1" s="1"/>
  <c r="B54" i="1"/>
  <c r="A55" i="1"/>
  <c r="C54" i="1"/>
  <c r="D54" i="1" s="1"/>
  <c r="G114" i="1" l="1"/>
  <c r="H114" i="1" s="1"/>
  <c r="D115" i="1"/>
  <c r="E115" i="1" s="1"/>
  <c r="F115" i="1" s="1"/>
  <c r="A116" i="1"/>
  <c r="B115" i="1"/>
  <c r="C115" i="1" s="1"/>
  <c r="C55" i="1"/>
  <c r="A56" i="1"/>
  <c r="B55" i="1"/>
  <c r="E54" i="1"/>
  <c r="G115" i="1" l="1"/>
  <c r="H115" i="1" s="1"/>
  <c r="D55" i="1"/>
  <c r="E55" i="1" s="1"/>
  <c r="A57" i="1"/>
  <c r="C56" i="1"/>
  <c r="B56" i="1"/>
  <c r="D116" i="1"/>
  <c r="E116" i="1" s="1"/>
  <c r="F116" i="1" s="1"/>
  <c r="B116" i="1"/>
  <c r="C116" i="1" s="1"/>
  <c r="A117" i="1"/>
  <c r="G116" i="1" l="1"/>
  <c r="A118" i="1"/>
  <c r="D117" i="1"/>
  <c r="E117" i="1" s="1"/>
  <c r="F117" i="1" s="1"/>
  <c r="B117" i="1"/>
  <c r="C117" i="1" s="1"/>
  <c r="D56" i="1"/>
  <c r="E56" i="1" s="1"/>
  <c r="H116" i="1"/>
  <c r="A58" i="1"/>
  <c r="B57" i="1"/>
  <c r="C57" i="1"/>
  <c r="G117" i="1" l="1"/>
  <c r="H117" i="1" s="1"/>
  <c r="A59" i="1"/>
  <c r="B58" i="1"/>
  <c r="C58" i="1"/>
  <c r="D58" i="1" s="1"/>
  <c r="D57" i="1"/>
  <c r="E57" i="1" s="1"/>
  <c r="B118" i="1"/>
  <c r="C118" i="1" s="1"/>
  <c r="A119" i="1"/>
  <c r="D118" i="1"/>
  <c r="E118" i="1" s="1"/>
  <c r="F118" i="1" s="1"/>
  <c r="E58" i="1" l="1"/>
  <c r="G118" i="1"/>
  <c r="H118" i="1" s="1"/>
  <c r="A120" i="1"/>
  <c r="B119" i="1"/>
  <c r="C119" i="1" s="1"/>
  <c r="D119" i="1"/>
  <c r="E119" i="1" s="1"/>
  <c r="F119" i="1" s="1"/>
  <c r="G119" i="1" s="1"/>
  <c r="B59" i="1"/>
  <c r="C59" i="1"/>
  <c r="D59" i="1" s="1"/>
  <c r="A60" i="1"/>
  <c r="E59" i="1" l="1"/>
  <c r="H119" i="1"/>
  <c r="A121" i="1"/>
  <c r="B120" i="1"/>
  <c r="C120" i="1" s="1"/>
  <c r="D120" i="1"/>
  <c r="E120" i="1" s="1"/>
  <c r="F120" i="1" s="1"/>
  <c r="G120" i="1" s="1"/>
  <c r="B60" i="1"/>
  <c r="A61" i="1"/>
  <c r="C60" i="1"/>
  <c r="D60" i="1" s="1"/>
  <c r="E60" i="1" s="1"/>
  <c r="H120" i="1" l="1"/>
  <c r="B61" i="1"/>
  <c r="A62" i="1"/>
  <c r="C61" i="1"/>
  <c r="D61" i="1" s="1"/>
  <c r="E61" i="1" s="1"/>
  <c r="D121" i="1"/>
  <c r="E121" i="1" s="1"/>
  <c r="F121" i="1" s="1"/>
  <c r="A122" i="1"/>
  <c r="B121" i="1"/>
  <c r="C121" i="1" s="1"/>
  <c r="D122" i="1" l="1"/>
  <c r="E122" i="1" s="1"/>
  <c r="F122" i="1" s="1"/>
  <c r="A123" i="1"/>
  <c r="B122" i="1"/>
  <c r="C122" i="1" s="1"/>
  <c r="G121" i="1"/>
  <c r="H121" i="1" s="1"/>
  <c r="A63" i="1"/>
  <c r="B62" i="1"/>
  <c r="C62" i="1"/>
  <c r="D62" i="1" s="1"/>
  <c r="E62" i="1" s="1"/>
  <c r="D123" i="1" l="1"/>
  <c r="E123" i="1" s="1"/>
  <c r="F123" i="1" s="1"/>
  <c r="B123" i="1"/>
  <c r="C123" i="1" s="1"/>
  <c r="A124" i="1"/>
  <c r="B63" i="1"/>
  <c r="A64" i="1"/>
  <c r="C63" i="1"/>
  <c r="D63" i="1" s="1"/>
  <c r="E63" i="1" s="1"/>
  <c r="G122" i="1"/>
  <c r="H122" i="1" s="1"/>
  <c r="G123" i="1" l="1"/>
  <c r="H123" i="1" s="1"/>
  <c r="A65" i="1"/>
  <c r="B64" i="1"/>
  <c r="C64" i="1"/>
  <c r="D64" i="1" s="1"/>
  <c r="E64" i="1" s="1"/>
  <c r="D124" i="1"/>
  <c r="E124" i="1" s="1"/>
  <c r="F124" i="1" s="1"/>
  <c r="A125" i="1"/>
  <c r="B124" i="1"/>
  <c r="C124" i="1" s="1"/>
  <c r="B125" i="1" l="1"/>
  <c r="C125" i="1" s="1"/>
  <c r="A126" i="1"/>
  <c r="D125" i="1"/>
  <c r="E125" i="1" s="1"/>
  <c r="F125" i="1" s="1"/>
  <c r="G124" i="1"/>
  <c r="H124" i="1" s="1"/>
  <c r="A66" i="1"/>
  <c r="B65" i="1"/>
  <c r="C65" i="1"/>
  <c r="G125" i="1" l="1"/>
  <c r="H125" i="1" s="1"/>
  <c r="B66" i="1"/>
  <c r="A67" i="1"/>
  <c r="C66" i="1"/>
  <c r="D66" i="1" s="1"/>
  <c r="B126" i="1"/>
  <c r="C126" i="1" s="1"/>
  <c r="A127" i="1"/>
  <c r="D126" i="1"/>
  <c r="E126" i="1" s="1"/>
  <c r="F126" i="1" s="1"/>
  <c r="G126" i="1" s="1"/>
  <c r="D65" i="1"/>
  <c r="E65" i="1" s="1"/>
  <c r="E66" i="1" l="1"/>
  <c r="H126" i="1"/>
  <c r="B127" i="1"/>
  <c r="C127" i="1" s="1"/>
  <c r="D127" i="1"/>
  <c r="E127" i="1" s="1"/>
  <c r="F127" i="1" s="1"/>
  <c r="A128" i="1"/>
  <c r="A68" i="1"/>
  <c r="B67" i="1"/>
  <c r="C67" i="1"/>
  <c r="D67" i="1" s="1"/>
  <c r="E67" i="1" s="1"/>
  <c r="G127" i="1" l="1"/>
  <c r="H127" i="1" s="1"/>
  <c r="A129" i="1"/>
  <c r="B128" i="1"/>
  <c r="C128" i="1" s="1"/>
  <c r="D128" i="1"/>
  <c r="E128" i="1" s="1"/>
  <c r="F128" i="1" s="1"/>
  <c r="B68" i="1"/>
  <c r="A69" i="1"/>
  <c r="C68" i="1"/>
  <c r="D68" i="1" s="1"/>
  <c r="E68" i="1" s="1"/>
  <c r="A70" i="1" l="1"/>
  <c r="B69" i="1"/>
  <c r="C69" i="1"/>
  <c r="G128" i="1"/>
  <c r="H128" i="1" s="1"/>
  <c r="B129" i="1"/>
  <c r="C129" i="1" s="1"/>
  <c r="D129" i="1"/>
  <c r="E129" i="1" s="1"/>
  <c r="F129" i="1" s="1"/>
  <c r="A130" i="1"/>
  <c r="G129" i="1" l="1"/>
  <c r="H129" i="1" s="1"/>
  <c r="D130" i="1"/>
  <c r="E130" i="1" s="1"/>
  <c r="F130" i="1" s="1"/>
  <c r="A131" i="1"/>
  <c r="B130" i="1"/>
  <c r="C130" i="1" s="1"/>
  <c r="D69" i="1"/>
  <c r="E69" i="1" s="1"/>
  <c r="B70" i="1"/>
  <c r="A71" i="1"/>
  <c r="C70" i="1"/>
  <c r="D70" i="1" s="1"/>
  <c r="E70" i="1" l="1"/>
  <c r="D131" i="1"/>
  <c r="E131" i="1" s="1"/>
  <c r="F131" i="1" s="1"/>
  <c r="B131" i="1"/>
  <c r="C131" i="1" s="1"/>
  <c r="A132" i="1"/>
  <c r="G130" i="1"/>
  <c r="H130" i="1" s="1"/>
  <c r="A72" i="1"/>
  <c r="B71" i="1"/>
  <c r="C71" i="1"/>
  <c r="D71" i="1" s="1"/>
  <c r="G131" i="1" l="1"/>
  <c r="H131" i="1" s="1"/>
  <c r="B72" i="1"/>
  <c r="A73" i="1"/>
  <c r="C72" i="1"/>
  <c r="A133" i="1"/>
  <c r="D132" i="1"/>
  <c r="E132" i="1" s="1"/>
  <c r="F132" i="1" s="1"/>
  <c r="B132" i="1"/>
  <c r="C132" i="1" s="1"/>
  <c r="E71" i="1"/>
  <c r="D72" i="1" l="1"/>
  <c r="E72" i="1" s="1"/>
  <c r="G132" i="1"/>
  <c r="H132" i="1" s="1"/>
  <c r="B133" i="1"/>
  <c r="C133" i="1" s="1"/>
  <c r="D133" i="1"/>
  <c r="E133" i="1" s="1"/>
  <c r="F133" i="1" s="1"/>
  <c r="G133" i="1" s="1"/>
  <c r="A134" i="1"/>
  <c r="C73" i="1"/>
  <c r="D73" i="1" s="1"/>
  <c r="B73" i="1"/>
  <c r="A74" i="1"/>
  <c r="E73" i="1" l="1"/>
  <c r="A75" i="1"/>
  <c r="C74" i="1"/>
  <c r="B74" i="1"/>
  <c r="A135" i="1"/>
  <c r="D134" i="1"/>
  <c r="E134" i="1" s="1"/>
  <c r="F134" i="1" s="1"/>
  <c r="B134" i="1"/>
  <c r="C134" i="1" s="1"/>
  <c r="H133" i="1"/>
  <c r="G134" i="1" l="1"/>
  <c r="D74" i="1"/>
  <c r="E74" i="1" s="1"/>
  <c r="H134" i="1"/>
  <c r="A136" i="1"/>
  <c r="B135" i="1"/>
  <c r="C135" i="1" s="1"/>
  <c r="D135" i="1"/>
  <c r="E135" i="1" s="1"/>
  <c r="F135" i="1" s="1"/>
  <c r="C75" i="1"/>
  <c r="B75" i="1"/>
  <c r="A76" i="1"/>
  <c r="G135" i="1" l="1"/>
  <c r="D75" i="1"/>
  <c r="E75" i="1" s="1"/>
  <c r="H135" i="1"/>
  <c r="C76" i="1"/>
  <c r="D76" i="1" s="1"/>
  <c r="E76" i="1" s="1"/>
  <c r="A77" i="1"/>
  <c r="B76" i="1"/>
  <c r="D136" i="1"/>
  <c r="E136" i="1" s="1"/>
  <c r="F136" i="1" s="1"/>
  <c r="B136" i="1"/>
  <c r="C136" i="1" s="1"/>
  <c r="A137" i="1"/>
  <c r="G136" i="1" l="1"/>
  <c r="B137" i="1"/>
  <c r="C137" i="1" s="1"/>
  <c r="A138" i="1"/>
  <c r="D137" i="1"/>
  <c r="E137" i="1" s="1"/>
  <c r="F137" i="1" s="1"/>
  <c r="G137" i="1" s="1"/>
  <c r="B77" i="1"/>
  <c r="A78" i="1"/>
  <c r="C77" i="1"/>
  <c r="D77" i="1" s="1"/>
  <c r="E77" i="1" s="1"/>
  <c r="H136" i="1"/>
  <c r="H137" i="1" l="1"/>
  <c r="D138" i="1"/>
  <c r="E138" i="1" s="1"/>
  <c r="F138" i="1" s="1"/>
  <c r="B138" i="1"/>
  <c r="C138" i="1" s="1"/>
  <c r="A139" i="1"/>
  <c r="A79" i="1"/>
  <c r="B78" i="1"/>
  <c r="C78" i="1"/>
  <c r="D78" i="1" s="1"/>
  <c r="E78" i="1" s="1"/>
  <c r="G138" i="1" l="1"/>
  <c r="H138" i="1" s="1"/>
  <c r="A80" i="1"/>
  <c r="B79" i="1"/>
  <c r="C79" i="1"/>
  <c r="D79" i="1" s="1"/>
  <c r="E79" i="1" s="1"/>
  <c r="D139" i="1"/>
  <c r="E139" i="1" s="1"/>
  <c r="F139" i="1" s="1"/>
  <c r="A140" i="1"/>
  <c r="B139" i="1"/>
  <c r="C139" i="1" s="1"/>
  <c r="G139" i="1" l="1"/>
  <c r="H139" i="1" s="1"/>
  <c r="B140" i="1"/>
  <c r="C140" i="1" s="1"/>
  <c r="A141" i="1"/>
  <c r="D140" i="1"/>
  <c r="E140" i="1" s="1"/>
  <c r="F140" i="1" s="1"/>
  <c r="G140" i="1" s="1"/>
  <c r="H140" i="1" s="1"/>
  <c r="A81" i="1"/>
  <c r="B80" i="1"/>
  <c r="C80" i="1"/>
  <c r="D80" i="1" s="1"/>
  <c r="E80" i="1" s="1"/>
  <c r="B81" i="1" l="1"/>
  <c r="C81" i="1"/>
  <c r="D81" i="1" s="1"/>
  <c r="E81" i="1" s="1"/>
  <c r="A82" i="1"/>
  <c r="B141" i="1"/>
  <c r="C141" i="1" s="1"/>
  <c r="D141" i="1"/>
  <c r="E141" i="1" s="1"/>
  <c r="F141" i="1" s="1"/>
  <c r="G141" i="1" s="1"/>
  <c r="H141" i="1" s="1"/>
  <c r="A142" i="1"/>
  <c r="D142" i="1" l="1"/>
  <c r="E142" i="1" s="1"/>
  <c r="F142" i="1" s="1"/>
  <c r="A143" i="1"/>
  <c r="B142" i="1"/>
  <c r="C142" i="1" s="1"/>
  <c r="B82" i="1"/>
  <c r="A83" i="1"/>
  <c r="C82" i="1"/>
  <c r="D82" i="1" s="1"/>
  <c r="E82" i="1" s="1"/>
  <c r="A84" i="1" l="1"/>
  <c r="C83" i="1"/>
  <c r="B83" i="1"/>
  <c r="G142" i="1"/>
  <c r="H142" i="1" s="1"/>
  <c r="B143" i="1"/>
  <c r="C143" i="1" s="1"/>
  <c r="A144" i="1"/>
  <c r="D143" i="1"/>
  <c r="E143" i="1" s="1"/>
  <c r="F143" i="1" s="1"/>
  <c r="G143" i="1" l="1"/>
  <c r="H143" i="1" s="1"/>
  <c r="D144" i="1"/>
  <c r="E144" i="1" s="1"/>
  <c r="F144" i="1" s="1"/>
  <c r="B144" i="1"/>
  <c r="C144" i="1" s="1"/>
  <c r="A145" i="1"/>
  <c r="D83" i="1"/>
  <c r="E83" i="1" s="1"/>
  <c r="C84" i="1"/>
  <c r="A85" i="1"/>
  <c r="B84" i="1"/>
  <c r="D84" i="1" l="1"/>
  <c r="E84" i="1" s="1"/>
  <c r="A146" i="1"/>
  <c r="B145" i="1"/>
  <c r="C145" i="1" s="1"/>
  <c r="D145" i="1"/>
  <c r="E145" i="1" s="1"/>
  <c r="F145" i="1" s="1"/>
  <c r="B85" i="1"/>
  <c r="A86" i="1"/>
  <c r="C85" i="1"/>
  <c r="D85" i="1" s="1"/>
  <c r="G144" i="1"/>
  <c r="H144" i="1" s="1"/>
  <c r="G145" i="1" l="1"/>
  <c r="H145" i="1" s="1"/>
  <c r="A87" i="1"/>
  <c r="C86" i="1"/>
  <c r="B86" i="1"/>
  <c r="D146" i="1"/>
  <c r="E146" i="1" s="1"/>
  <c r="F146" i="1" s="1"/>
  <c r="A147" i="1"/>
  <c r="B146" i="1"/>
  <c r="C146" i="1" s="1"/>
  <c r="E85" i="1"/>
  <c r="D86" i="1" l="1"/>
  <c r="E86" i="1" s="1"/>
  <c r="G146" i="1"/>
  <c r="H146" i="1" s="1"/>
  <c r="D147" i="1"/>
  <c r="E147" i="1" s="1"/>
  <c r="F147" i="1" s="1"/>
  <c r="B147" i="1"/>
  <c r="C147" i="1" s="1"/>
  <c r="A148" i="1"/>
  <c r="C87" i="1"/>
  <c r="A88" i="1"/>
  <c r="B87" i="1"/>
  <c r="D87" i="1" l="1"/>
  <c r="E87" i="1" s="1"/>
  <c r="G147" i="1"/>
  <c r="H147" i="1" s="1"/>
  <c r="A89" i="1"/>
  <c r="B88" i="1"/>
  <c r="C88" i="1"/>
  <c r="D88" i="1" s="1"/>
  <c r="D148" i="1"/>
  <c r="E148" i="1" s="1"/>
  <c r="F148" i="1" s="1"/>
  <c r="B148" i="1"/>
  <c r="C148" i="1" s="1"/>
  <c r="A149" i="1"/>
  <c r="E88" i="1" l="1"/>
  <c r="B149" i="1"/>
  <c r="C149" i="1" s="1"/>
  <c r="D149" i="1"/>
  <c r="E149" i="1" s="1"/>
  <c r="F149" i="1" s="1"/>
  <c r="A150" i="1"/>
  <c r="A90" i="1"/>
  <c r="C89" i="1"/>
  <c r="B89" i="1"/>
  <c r="G148" i="1"/>
  <c r="H148" i="1" s="1"/>
  <c r="D89" i="1" l="1"/>
  <c r="E89" i="1" s="1"/>
  <c r="G149" i="1"/>
  <c r="H149" i="1" s="1"/>
  <c r="B90" i="1"/>
  <c r="C90" i="1"/>
  <c r="D90" i="1" s="1"/>
  <c r="E90" i="1" s="1"/>
  <c r="A91" i="1"/>
  <c r="D150" i="1"/>
  <c r="E150" i="1" s="1"/>
  <c r="F150" i="1" s="1"/>
  <c r="B150" i="1"/>
  <c r="C150" i="1" s="1"/>
  <c r="A151" i="1"/>
  <c r="G150" i="1" l="1"/>
  <c r="H150" i="1" s="1"/>
  <c r="A152" i="1"/>
  <c r="B151" i="1"/>
  <c r="C151" i="1" s="1"/>
  <c r="D151" i="1"/>
  <c r="E151" i="1" s="1"/>
  <c r="F151" i="1" s="1"/>
  <c r="G151" i="1" s="1"/>
  <c r="H151" i="1" s="1"/>
  <c r="A92" i="1"/>
  <c r="B91" i="1"/>
  <c r="C91" i="1"/>
  <c r="D91" i="1" s="1"/>
  <c r="E91" i="1" s="1"/>
  <c r="B152" i="1" l="1"/>
  <c r="C152" i="1" s="1"/>
  <c r="A153" i="1"/>
  <c r="D152" i="1"/>
  <c r="E152" i="1" s="1"/>
  <c r="F152" i="1" s="1"/>
  <c r="A93" i="1"/>
  <c r="B92" i="1"/>
  <c r="C92" i="1"/>
  <c r="D92" i="1" s="1"/>
  <c r="E92" i="1" s="1"/>
  <c r="G152" i="1" l="1"/>
  <c r="H152" i="1" s="1"/>
  <c r="A94" i="1"/>
  <c r="B93" i="1"/>
  <c r="C93" i="1"/>
  <c r="D93" i="1" s="1"/>
  <c r="E93" i="1" s="1"/>
  <c r="A154" i="1"/>
  <c r="D153" i="1"/>
  <c r="E153" i="1" s="1"/>
  <c r="F153" i="1" s="1"/>
  <c r="B153" i="1"/>
  <c r="C153" i="1" s="1"/>
  <c r="G153" i="1" l="1"/>
  <c r="H153" i="1" s="1"/>
  <c r="B94" i="1"/>
  <c r="C94" i="1"/>
  <c r="D94" i="1" s="1"/>
  <c r="E94" i="1" s="1"/>
  <c r="A95" i="1"/>
  <c r="D154" i="1"/>
  <c r="E154" i="1" s="1"/>
  <c r="F154" i="1" s="1"/>
  <c r="B154" i="1"/>
  <c r="C154" i="1" s="1"/>
  <c r="A155" i="1"/>
  <c r="B155" i="1" l="1"/>
  <c r="C155" i="1" s="1"/>
  <c r="D155" i="1"/>
  <c r="E155" i="1" s="1"/>
  <c r="F155" i="1" s="1"/>
  <c r="A156" i="1"/>
  <c r="G154" i="1"/>
  <c r="H154" i="1" s="1"/>
  <c r="B95" i="1"/>
  <c r="C95" i="1"/>
  <c r="D95" i="1" s="1"/>
  <c r="E95" i="1" s="1"/>
  <c r="A96" i="1"/>
  <c r="G155" i="1" l="1"/>
  <c r="H155" i="1" s="1"/>
  <c r="A97" i="1"/>
  <c r="B96" i="1"/>
  <c r="C96" i="1"/>
  <c r="D96" i="1" s="1"/>
  <c r="E96" i="1" s="1"/>
  <c r="D156" i="1"/>
  <c r="E156" i="1" s="1"/>
  <c r="F156" i="1" s="1"/>
  <c r="B156" i="1"/>
  <c r="C156" i="1" s="1"/>
  <c r="A157" i="1"/>
  <c r="G156" i="1" l="1"/>
  <c r="H156" i="1" s="1"/>
  <c r="B157" i="1"/>
  <c r="C157" i="1" s="1"/>
  <c r="D157" i="1"/>
  <c r="E157" i="1" s="1"/>
  <c r="F157" i="1" s="1"/>
  <c r="A158" i="1"/>
  <c r="C97" i="1"/>
  <c r="A98" i="1"/>
  <c r="B97" i="1"/>
  <c r="D97" i="1" l="1"/>
  <c r="E97" i="1" s="1"/>
  <c r="G157" i="1"/>
  <c r="H157" i="1" s="1"/>
  <c r="A99" i="1"/>
  <c r="B98" i="1"/>
  <c r="C98" i="1"/>
  <c r="D98" i="1" s="1"/>
  <c r="B158" i="1"/>
  <c r="C158" i="1" s="1"/>
  <c r="A159" i="1"/>
  <c r="D158" i="1"/>
  <c r="E158" i="1" s="1"/>
  <c r="F158" i="1" s="1"/>
  <c r="G158" i="1" s="1"/>
  <c r="H158" i="1" s="1"/>
  <c r="E98" i="1" l="1"/>
  <c r="B159" i="1"/>
  <c r="C159" i="1" s="1"/>
  <c r="A160" i="1"/>
  <c r="D159" i="1"/>
  <c r="E159" i="1" s="1"/>
  <c r="F159" i="1" s="1"/>
  <c r="B99" i="1"/>
  <c r="C99" i="1"/>
  <c r="D99" i="1" s="1"/>
  <c r="A100" i="1"/>
  <c r="E99" i="1" l="1"/>
  <c r="G159" i="1"/>
  <c r="H159" i="1" s="1"/>
  <c r="B100" i="1"/>
  <c r="C100" i="1"/>
  <c r="D100" i="1" s="1"/>
  <c r="B160" i="1"/>
  <c r="C160" i="1" s="1"/>
  <c r="D160" i="1"/>
  <c r="E160" i="1" s="1"/>
  <c r="F160" i="1" s="1"/>
  <c r="G160" i="1" s="1"/>
  <c r="H160" i="1" s="1"/>
  <c r="H103" i="1" s="1"/>
  <c r="E10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M9" authorId="0" shapeId="0" xr:uid="{9EC642DE-E13A-C344-B9BA-B4B58F9A307F}">
      <text>
        <r>
          <rPr>
            <b/>
            <sz val="9"/>
            <color rgb="FF000000"/>
            <rFont val="Tahoma"/>
            <family val="2"/>
          </rPr>
          <t>Tiene en cuenta los subsuelos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M9" authorId="0" shapeId="0" xr:uid="{B101DC1D-C817-4249-AA12-A9FBDD32DD03}">
      <text>
        <r>
          <rPr>
            <b/>
            <sz val="9"/>
            <color rgb="FF000000"/>
            <rFont val="Tahoma"/>
            <family val="2"/>
          </rPr>
          <t>Tiene en cuenta los subsuelos</t>
        </r>
      </text>
    </comment>
  </commentList>
</comments>
</file>

<file path=xl/sharedStrings.xml><?xml version="1.0" encoding="utf-8"?>
<sst xmlns="http://schemas.openxmlformats.org/spreadsheetml/2006/main" count="609" uniqueCount="260">
  <si>
    <t>OCR</t>
  </si>
  <si>
    <t>Cr</t>
  </si>
  <si>
    <t>B</t>
  </si>
  <si>
    <t>m</t>
  </si>
  <si>
    <t>Cc</t>
  </si>
  <si>
    <t>Espesor</t>
  </si>
  <si>
    <t>g</t>
  </si>
  <si>
    <t>kN/m3</t>
  </si>
  <si>
    <t>w</t>
  </si>
  <si>
    <r>
      <rPr>
        <b/>
        <sz val="12"/>
        <color theme="1"/>
        <rFont val="Symbol"/>
        <family val="1"/>
        <charset val="2"/>
      </rPr>
      <t>g</t>
    </r>
    <r>
      <rPr>
        <b/>
        <sz val="12"/>
        <color theme="1"/>
        <rFont val="Calibri"/>
        <family val="2"/>
        <scheme val="minor"/>
      </rPr>
      <t>_arcilla_sat</t>
    </r>
  </si>
  <si>
    <r>
      <rPr>
        <b/>
        <sz val="12"/>
        <color theme="1"/>
        <rFont val="Symbol"/>
        <family val="1"/>
        <charset val="2"/>
      </rPr>
      <t>g</t>
    </r>
    <r>
      <rPr>
        <b/>
        <sz val="12"/>
        <color theme="1"/>
        <rFont val="Calibri"/>
        <family val="2"/>
        <scheme val="minor"/>
      </rPr>
      <t>_arcilla_nosat</t>
    </r>
  </si>
  <si>
    <t>q</t>
  </si>
  <si>
    <t>kPa</t>
  </si>
  <si>
    <r>
      <t>e</t>
    </r>
    <r>
      <rPr>
        <b/>
        <vertAlign val="subscript"/>
        <sz val="12"/>
        <color theme="1"/>
        <rFont val="Calibri"/>
        <family val="2"/>
        <scheme val="minor"/>
      </rPr>
      <t>i</t>
    </r>
  </si>
  <si>
    <t>z</t>
  </si>
  <si>
    <t>n</t>
  </si>
  <si>
    <t>Iz</t>
  </si>
  <si>
    <t>Ds</t>
  </si>
  <si>
    <r>
      <t>s</t>
    </r>
    <r>
      <rPr>
        <b/>
        <sz val="12"/>
        <color theme="1"/>
        <rFont val="Calibri Light"/>
        <family val="2"/>
        <scheme val="major"/>
      </rPr>
      <t>i</t>
    </r>
  </si>
  <si>
    <r>
      <t>s</t>
    </r>
    <r>
      <rPr>
        <b/>
        <sz val="12"/>
        <color theme="1"/>
        <rFont val="Calibri Light"/>
        <family val="2"/>
        <scheme val="major"/>
      </rPr>
      <t>f</t>
    </r>
  </si>
  <si>
    <r>
      <t>s</t>
    </r>
    <r>
      <rPr>
        <b/>
        <sz val="12"/>
        <color theme="1"/>
        <rFont val="Calibri Light"/>
        <family val="2"/>
        <scheme val="major"/>
      </rPr>
      <t>c</t>
    </r>
  </si>
  <si>
    <t>De</t>
  </si>
  <si>
    <r>
      <t>D</t>
    </r>
    <r>
      <rPr>
        <b/>
        <sz val="12"/>
        <color theme="1"/>
        <rFont val="Calibri Light"/>
        <family val="2"/>
        <scheme val="major"/>
      </rPr>
      <t>h</t>
    </r>
  </si>
  <si>
    <t>EJERCICIO 1.3</t>
  </si>
  <si>
    <t>datos:</t>
  </si>
  <si>
    <t>d</t>
  </si>
  <si>
    <t>L</t>
  </si>
  <si>
    <t>H</t>
  </si>
  <si>
    <t>t</t>
  </si>
  <si>
    <t>días</t>
  </si>
  <si>
    <t>Ei</t>
  </si>
  <si>
    <t>MPa</t>
  </si>
  <si>
    <t>resolución 1 - Schmertmann:</t>
  </si>
  <si>
    <t>zmax</t>
  </si>
  <si>
    <t>otros valores de profundidad</t>
  </si>
  <si>
    <r>
      <rPr>
        <sz val="12"/>
        <color theme="1"/>
        <rFont val="Symbol"/>
        <family val="1"/>
        <charset val="2"/>
      </rPr>
      <t>s</t>
    </r>
    <r>
      <rPr>
        <sz val="12"/>
        <color theme="1"/>
        <rFont val="Calibri"/>
        <family val="2"/>
        <scheme val="minor"/>
      </rPr>
      <t>zd</t>
    </r>
  </si>
  <si>
    <t>z (m)</t>
  </si>
  <si>
    <t>c1</t>
  </si>
  <si>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Calibri"/>
        <family val="2"/>
        <scheme val="minor"/>
      </rPr>
      <t xml:space="preserve"> (mm)</t>
    </r>
  </si>
  <si>
    <t>c2</t>
  </si>
  <si>
    <t>c3</t>
  </si>
  <si>
    <t>Ez</t>
  </si>
  <si>
    <r>
      <rPr>
        <b/>
        <sz val="12"/>
        <color theme="1"/>
        <rFont val="Symbol"/>
        <family val="1"/>
        <charset val="2"/>
      </rPr>
      <t>Dd</t>
    </r>
    <r>
      <rPr>
        <b/>
        <sz val="12"/>
        <color theme="1"/>
        <rFont val="Calibri"/>
        <family val="2"/>
        <scheme val="minor"/>
      </rPr>
      <t>i</t>
    </r>
  </si>
  <si>
    <r>
      <rPr>
        <b/>
        <sz val="12"/>
        <color theme="1"/>
        <rFont val="Symbol"/>
        <family val="1"/>
        <charset val="2"/>
      </rPr>
      <t>d = S Dd</t>
    </r>
    <r>
      <rPr>
        <b/>
        <sz val="12"/>
        <color theme="1"/>
        <rFont val="Calibri"/>
        <family val="2"/>
        <scheme val="minor"/>
      </rPr>
      <t>i</t>
    </r>
  </si>
  <si>
    <t>(m)</t>
  </si>
  <si>
    <t>(MPa)</t>
  </si>
  <si>
    <t>(-)</t>
  </si>
  <si>
    <t>(mm)</t>
  </si>
  <si>
    <t>resolución 2 - edométrico:</t>
  </si>
  <si>
    <t>Eoed</t>
  </si>
  <si>
    <t>n=z/B</t>
  </si>
  <si>
    <r>
      <rPr>
        <b/>
        <sz val="12"/>
        <color theme="1"/>
        <rFont val="Symbol"/>
        <family val="1"/>
        <charset val="2"/>
      </rPr>
      <t>Ds</t>
    </r>
    <r>
      <rPr>
        <b/>
        <sz val="12"/>
        <color theme="1"/>
        <rFont val="Calibri"/>
        <family val="2"/>
        <scheme val="minor"/>
      </rPr>
      <t>v</t>
    </r>
  </si>
  <si>
    <r>
      <rPr>
        <sz val="12"/>
        <color theme="1"/>
        <rFont val="Symbol"/>
        <family val="1"/>
        <charset val="2"/>
      </rPr>
      <t>Dd</t>
    </r>
    <r>
      <rPr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charset val="2"/>
        <scheme val="minor"/>
      </rPr>
      <t>=</t>
    </r>
    <r>
      <rPr>
        <sz val="12"/>
        <color theme="1"/>
        <rFont val="Symbol"/>
        <family val="1"/>
        <charset val="2"/>
      </rPr>
      <t>Ds</t>
    </r>
    <r>
      <rPr>
        <sz val="12"/>
        <color theme="1"/>
        <rFont val="Calibri"/>
        <family val="2"/>
        <scheme val="minor"/>
      </rPr>
      <t>v</t>
    </r>
    <r>
      <rPr>
        <sz val="12"/>
        <color theme="1"/>
        <rFont val="Calibri"/>
        <family val="2"/>
        <charset val="2"/>
        <scheme val="minor"/>
      </rPr>
      <t xml:space="preserve"> / Eoed * </t>
    </r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Calibri"/>
        <family val="2"/>
        <charset val="2"/>
        <scheme val="minor"/>
      </rPr>
      <t>z</t>
    </r>
  </si>
  <si>
    <t>(kPa)</t>
  </si>
  <si>
    <t>D</t>
  </si>
  <si>
    <t>C</t>
  </si>
  <si>
    <t>50kPa</t>
  </si>
  <si>
    <t>5m</t>
  </si>
  <si>
    <t>A</t>
  </si>
  <si>
    <t>resolución:</t>
  </si>
  <si>
    <t>SCALE LINE:</t>
  </si>
  <si>
    <t>profundidad de interés</t>
  </si>
  <si>
    <t>N</t>
  </si>
  <si>
    <r>
      <t>s</t>
    </r>
    <r>
      <rPr>
        <sz val="12"/>
        <color theme="1"/>
        <rFont val="Times Roman"/>
      </rPr>
      <t>a</t>
    </r>
  </si>
  <si>
    <r>
      <t>s</t>
    </r>
    <r>
      <rPr>
        <sz val="12"/>
        <color theme="1"/>
        <rFont val="Times Roman"/>
      </rPr>
      <t>b</t>
    </r>
  </si>
  <si>
    <t>EJERCICIO 1.4</t>
  </si>
  <si>
    <t>H1</t>
  </si>
  <si>
    <r>
      <rPr>
        <sz val="12"/>
        <color theme="1"/>
        <rFont val="Symbol"/>
        <family val="1"/>
        <charset val="2"/>
      </rPr>
      <t>n</t>
    </r>
    <r>
      <rPr>
        <sz val="12"/>
        <color theme="1"/>
        <rFont val="Calibri"/>
        <family val="2"/>
        <scheme val="minor"/>
      </rPr>
      <t>1</t>
    </r>
  </si>
  <si>
    <t>q1</t>
  </si>
  <si>
    <t>H2</t>
  </si>
  <si>
    <r>
      <rPr>
        <sz val="12"/>
        <color theme="1"/>
        <rFont val="Symbol"/>
        <family val="1"/>
        <charset val="2"/>
      </rPr>
      <t>n</t>
    </r>
    <r>
      <rPr>
        <sz val="12"/>
        <color theme="1"/>
        <rFont val="Calibri"/>
        <family val="2"/>
        <charset val="2"/>
        <scheme val="minor"/>
      </rPr>
      <t>2</t>
    </r>
  </si>
  <si>
    <t>q2</t>
  </si>
  <si>
    <t>E1</t>
  </si>
  <si>
    <t>q3</t>
  </si>
  <si>
    <t>E2</t>
  </si>
  <si>
    <t>resolución - edométrico:</t>
  </si>
  <si>
    <t>Eoed_1</t>
  </si>
  <si>
    <t>Eoed_2</t>
  </si>
  <si>
    <t>edif</t>
  </si>
  <si>
    <r>
      <rPr>
        <sz val="12"/>
        <color theme="1"/>
        <rFont val="Symbol"/>
        <family val="1"/>
        <charset val="2"/>
      </rPr>
      <t>Ds</t>
    </r>
    <r>
      <rPr>
        <sz val="12"/>
        <color theme="1"/>
        <rFont val="Calibri"/>
        <family val="2"/>
        <scheme val="minor"/>
      </rPr>
      <t>v</t>
    </r>
    <r>
      <rPr>
        <sz val="12"/>
        <color theme="1"/>
        <rFont val="Calibri"/>
        <family val="2"/>
        <charset val="2"/>
        <scheme val="minor"/>
      </rPr>
      <t>_8m</t>
    </r>
  </si>
  <si>
    <r>
      <rPr>
        <sz val="12"/>
        <color theme="1"/>
        <rFont val="Symbol"/>
        <family val="1"/>
        <charset val="2"/>
      </rPr>
      <t>Ds</t>
    </r>
    <r>
      <rPr>
        <sz val="12"/>
        <color theme="1"/>
        <rFont val="Calibri"/>
        <family val="2"/>
        <scheme val="minor"/>
      </rPr>
      <t>v</t>
    </r>
    <r>
      <rPr>
        <sz val="12"/>
        <color theme="1"/>
        <rFont val="Calibri"/>
        <family val="2"/>
        <charset val="2"/>
        <scheme val="minor"/>
      </rPr>
      <t>_23m</t>
    </r>
  </si>
  <si>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Calibri"/>
        <family val="2"/>
        <scheme val="minor"/>
      </rPr>
      <t>1</t>
    </r>
  </si>
  <si>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Calibri"/>
        <family val="2"/>
        <charset val="2"/>
        <scheme val="minor"/>
      </rPr>
      <t>2</t>
    </r>
  </si>
  <si>
    <r>
      <rPr>
        <b/>
        <sz val="12"/>
        <color theme="1"/>
        <rFont val="Symbol"/>
        <family val="1"/>
        <charset val="2"/>
      </rPr>
      <t>d</t>
    </r>
    <r>
      <rPr>
        <b/>
        <sz val="12"/>
        <color theme="1"/>
        <rFont val="Calibri"/>
        <family val="2"/>
        <scheme val="minor"/>
      </rPr>
      <t xml:space="preserve">= </t>
    </r>
    <r>
      <rPr>
        <b/>
        <sz val="12"/>
        <color theme="1"/>
        <rFont val="Symbol"/>
        <family val="1"/>
        <charset val="2"/>
      </rPr>
      <t>d</t>
    </r>
    <r>
      <rPr>
        <b/>
        <sz val="12"/>
        <color theme="1"/>
        <rFont val="Calibri"/>
        <family val="2"/>
        <scheme val="minor"/>
      </rPr>
      <t xml:space="preserve">1 + </t>
    </r>
    <r>
      <rPr>
        <b/>
        <sz val="12"/>
        <color theme="1"/>
        <rFont val="Symbol"/>
        <family val="1"/>
        <charset val="2"/>
      </rPr>
      <t>d</t>
    </r>
    <r>
      <rPr>
        <b/>
        <sz val="12"/>
        <color theme="1"/>
        <rFont val="Calibri"/>
        <family val="2"/>
        <scheme val="minor"/>
      </rPr>
      <t>2</t>
    </r>
  </si>
  <si>
    <t>PUNTO A</t>
  </si>
  <si>
    <t>PUNTO B</t>
  </si>
  <si>
    <t>PUNTO C</t>
  </si>
  <si>
    <t>resolución - ábado Fadum:</t>
  </si>
  <si>
    <t>30m x 22,5m</t>
  </si>
  <si>
    <t>30m x 7,5m</t>
  </si>
  <si>
    <t>15m x 7.5m</t>
  </si>
  <si>
    <t>q=90</t>
  </si>
  <si>
    <t>q=-30</t>
  </si>
  <si>
    <t>q=30</t>
  </si>
  <si>
    <t>22.5m x 15m</t>
  </si>
  <si>
    <t>AREA</t>
  </si>
  <si>
    <t>nz</t>
  </si>
  <si>
    <t>mz</t>
  </si>
  <si>
    <t>Ir</t>
  </si>
  <si>
    <t>resolución - Newmark:</t>
  </si>
  <si>
    <t>z=8m</t>
  </si>
  <si>
    <t>q (kPa)</t>
  </si>
  <si>
    <r>
      <rPr>
        <b/>
        <sz val="12"/>
        <color theme="1"/>
        <rFont val="Symbol"/>
        <family val="1"/>
        <charset val="2"/>
      </rPr>
      <t>Ds</t>
    </r>
    <r>
      <rPr>
        <b/>
        <sz val="12"/>
        <color theme="1"/>
        <rFont val="Calibri"/>
        <family val="2"/>
        <scheme val="minor"/>
      </rPr>
      <t>v (kPa)</t>
    </r>
  </si>
  <si>
    <t>N_q1</t>
  </si>
  <si>
    <t>N_q2</t>
  </si>
  <si>
    <t>N_q3</t>
  </si>
  <si>
    <t>EJERCICIO 5.1</t>
  </si>
  <si>
    <t>suelo CABA, Fm. Pampeano</t>
  </si>
  <si>
    <t>LL</t>
  </si>
  <si>
    <t>LP</t>
  </si>
  <si>
    <t>3 - 6m prof. zona Núñez</t>
  </si>
  <si>
    <t>s</t>
  </si>
  <si>
    <r>
      <t>COV=</t>
    </r>
    <r>
      <rPr>
        <b/>
        <sz val="12"/>
        <color theme="1"/>
        <rFont val="Symbol"/>
        <family val="1"/>
        <charset val="2"/>
      </rPr>
      <t>s/m</t>
    </r>
  </si>
  <si>
    <t>(%)</t>
  </si>
  <si>
    <t>(kN/m3)</t>
  </si>
  <si>
    <t>EJERCICIO 5.2</t>
  </si>
  <si>
    <t>Depth</t>
  </si>
  <si>
    <t>CPT Point (MPa)</t>
  </si>
  <si>
    <t>Mean</t>
  </si>
  <si>
    <t>SD</t>
  </si>
  <si>
    <t>-1  SD</t>
  </si>
  <si>
    <t>+1  SD</t>
  </si>
  <si>
    <r>
      <rPr>
        <b/>
        <sz val="11"/>
        <color theme="1"/>
        <rFont val="Symbol"/>
        <family val="1"/>
        <charset val="2"/>
      </rPr>
      <t>s</t>
    </r>
    <r>
      <rPr>
        <b/>
        <sz val="11"/>
        <color theme="1"/>
        <rFont val="Calibri"/>
        <family val="2"/>
        <scheme val="minor"/>
      </rPr>
      <t>v</t>
    </r>
  </si>
  <si>
    <t>Nkt</t>
  </si>
  <si>
    <t>su</t>
  </si>
  <si>
    <t>-</t>
  </si>
  <si>
    <t>su_80</t>
  </si>
  <si>
    <t>EJERCICIO 5.3</t>
  </si>
  <si>
    <t>SPT</t>
  </si>
  <si>
    <t>Nspt=N60</t>
  </si>
  <si>
    <t>CN</t>
  </si>
  <si>
    <t>(N1)60</t>
  </si>
  <si>
    <t>(blows/300mm)</t>
  </si>
  <si>
    <t xml:space="preserve">No information on hammer </t>
  </si>
  <si>
    <r>
      <t>efficiency.  Assume N=N</t>
    </r>
    <r>
      <rPr>
        <vertAlign val="subscript"/>
        <sz val="11"/>
        <color theme="1"/>
        <rFont val="Calibri"/>
        <family val="2"/>
        <scheme val="minor"/>
      </rPr>
      <t>60</t>
    </r>
    <r>
      <rPr>
        <sz val="12"/>
        <color theme="1"/>
        <rFont val="Calibri"/>
        <family val="2"/>
        <scheme val="minor"/>
      </rPr>
      <t>.</t>
    </r>
  </si>
  <si>
    <t>EJERCICIO 5.4</t>
  </si>
  <si>
    <t>1- resolución ELU</t>
  </si>
  <si>
    <t>Estructura</t>
  </si>
  <si>
    <t>CÁLCULOS AUXILIARES</t>
  </si>
  <si>
    <t>Lado (B) [m]</t>
  </si>
  <si>
    <t>Lado (L) [m]</t>
  </si>
  <si>
    <r>
      <t>Área punta [m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]</t>
    </r>
  </si>
  <si>
    <t>Solicitaciones en el plano de fundación</t>
  </si>
  <si>
    <t>Profundidad de la base d  [m]</t>
  </si>
  <si>
    <t>T</t>
  </si>
  <si>
    <r>
      <t>M</t>
    </r>
    <r>
      <rPr>
        <b/>
        <vertAlign val="subscript"/>
        <sz val="10"/>
        <color rgb="FFFF0000"/>
        <rFont val="Arial"/>
        <family val="2"/>
      </rPr>
      <t>x</t>
    </r>
  </si>
  <si>
    <r>
      <t>e</t>
    </r>
    <r>
      <rPr>
        <b/>
        <vertAlign val="subscript"/>
        <sz val="10"/>
        <color rgb="FFFF0000"/>
        <rFont val="Arial"/>
        <family val="2"/>
      </rPr>
      <t>x</t>
    </r>
  </si>
  <si>
    <r>
      <t>M</t>
    </r>
    <r>
      <rPr>
        <b/>
        <vertAlign val="subscript"/>
        <sz val="10"/>
        <color rgb="FFFF0000"/>
        <rFont val="Arial"/>
        <family val="2"/>
      </rPr>
      <t>y</t>
    </r>
  </si>
  <si>
    <r>
      <t>e</t>
    </r>
    <r>
      <rPr>
        <b/>
        <vertAlign val="subscript"/>
        <sz val="10"/>
        <color rgb="FFFF0000"/>
        <rFont val="Arial"/>
        <family val="2"/>
      </rPr>
      <t>y</t>
    </r>
  </si>
  <si>
    <t>Espesor del relleno (D)  [m]</t>
  </si>
  <si>
    <t>[kN]</t>
  </si>
  <si>
    <t>[kNm]</t>
  </si>
  <si>
    <t>[m]</t>
  </si>
  <si>
    <t>Parámetros del terreno</t>
  </si>
  <si>
    <t>Factores capacidad de carga</t>
  </si>
  <si>
    <t>Dimensiones efectivas</t>
  </si>
  <si>
    <r>
      <rPr>
        <sz val="10"/>
        <rFont val="Symbol"/>
        <family val="1"/>
        <charset val="2"/>
      </rPr>
      <t>f</t>
    </r>
    <r>
      <rPr>
        <vertAlign val="subscript"/>
        <sz val="10"/>
        <rFont val="Arial Narrow"/>
        <family val="2"/>
      </rPr>
      <t>u</t>
    </r>
  </si>
  <si>
    <r>
      <t>s</t>
    </r>
    <r>
      <rPr>
        <vertAlign val="subscript"/>
        <sz val="10"/>
        <rFont val="Arial"/>
        <family val="2"/>
      </rPr>
      <t>u</t>
    </r>
  </si>
  <si>
    <r>
      <rPr>
        <sz val="10"/>
        <rFont val="Symbol"/>
        <family val="1"/>
        <charset val="2"/>
      </rPr>
      <t xml:space="preserve">g </t>
    </r>
    <r>
      <rPr>
        <sz val="10"/>
        <rFont val="Arial"/>
        <family val="2"/>
      </rPr>
      <t>'</t>
    </r>
  </si>
  <si>
    <r>
      <rPr>
        <sz val="10"/>
        <rFont val="Symbol"/>
        <family val="1"/>
        <charset val="2"/>
      </rPr>
      <t>s</t>
    </r>
    <r>
      <rPr>
        <vertAlign val="subscript"/>
        <sz val="10"/>
        <rFont val="Arial"/>
        <family val="2"/>
      </rPr>
      <t>v</t>
    </r>
    <r>
      <rPr>
        <sz val="10"/>
        <rFont val="Arial"/>
        <family val="2"/>
      </rPr>
      <t xml:space="preserve">' </t>
    </r>
  </si>
  <si>
    <r>
      <t>N</t>
    </r>
    <r>
      <rPr>
        <vertAlign val="subscript"/>
        <sz val="10"/>
        <rFont val="Arial"/>
        <family val="2"/>
      </rPr>
      <t>q</t>
    </r>
  </si>
  <si>
    <r>
      <rPr>
        <sz val="10"/>
        <rFont val="Arial"/>
        <family val="2"/>
      </rPr>
      <t>N</t>
    </r>
    <r>
      <rPr>
        <vertAlign val="subscript"/>
        <sz val="10"/>
        <rFont val="Symbol"/>
        <family val="1"/>
        <charset val="2"/>
      </rPr>
      <t>g</t>
    </r>
  </si>
  <si>
    <r>
      <t>N</t>
    </r>
    <r>
      <rPr>
        <vertAlign val="subscript"/>
        <sz val="10"/>
        <rFont val="Arial"/>
        <family val="2"/>
      </rPr>
      <t>c</t>
    </r>
  </si>
  <si>
    <r>
      <t>N</t>
    </r>
    <r>
      <rPr>
        <vertAlign val="subscript"/>
        <sz val="10"/>
        <color rgb="FFFF0000"/>
        <rFont val="Symbol"/>
        <family val="1"/>
        <charset val="2"/>
      </rPr>
      <t>f</t>
    </r>
  </si>
  <si>
    <r>
      <t>B</t>
    </r>
    <r>
      <rPr>
        <b/>
        <vertAlign val="subscript"/>
        <sz val="10"/>
        <color rgb="FFFF0000"/>
        <rFont val="Arial"/>
        <family val="2"/>
      </rPr>
      <t>eq</t>
    </r>
  </si>
  <si>
    <r>
      <t>L</t>
    </r>
    <r>
      <rPr>
        <b/>
        <vertAlign val="subscript"/>
        <sz val="10"/>
        <color rgb="FFFF0000"/>
        <rFont val="Arial"/>
        <family val="2"/>
      </rPr>
      <t>eq</t>
    </r>
  </si>
  <si>
    <r>
      <t>A</t>
    </r>
    <r>
      <rPr>
        <b/>
        <vertAlign val="subscript"/>
        <sz val="10"/>
        <color rgb="FFFF0000"/>
        <rFont val="Arial"/>
        <family val="2"/>
      </rPr>
      <t>e</t>
    </r>
  </si>
  <si>
    <t>°</t>
  </si>
  <si>
    <t xml:space="preserve"> kPa/m</t>
  </si>
  <si>
    <r>
      <t>[m</t>
    </r>
    <r>
      <rPr>
        <vertAlign val="superscript"/>
        <sz val="10"/>
        <color rgb="FFFF0000"/>
        <rFont val="Arial"/>
        <family val="2"/>
      </rPr>
      <t>2</t>
    </r>
    <r>
      <rPr>
        <sz val="10"/>
        <color rgb="FFFF0000"/>
        <rFont val="Arial"/>
        <family val="2"/>
      </rPr>
      <t>]</t>
    </r>
  </si>
  <si>
    <t>Factores de corrección</t>
  </si>
  <si>
    <t>D/B</t>
  </si>
  <si>
    <r>
      <t>s</t>
    </r>
    <r>
      <rPr>
        <sz val="10"/>
        <rFont val="Symbol"/>
        <family val="1"/>
        <charset val="2"/>
      </rPr>
      <t>g</t>
    </r>
  </si>
  <si>
    <r>
      <t>d</t>
    </r>
    <r>
      <rPr>
        <sz val="10"/>
        <rFont val="Symbol"/>
        <family val="1"/>
        <charset val="2"/>
      </rPr>
      <t>g</t>
    </r>
  </si>
  <si>
    <r>
      <t>i</t>
    </r>
    <r>
      <rPr>
        <sz val="10"/>
        <rFont val="Symbol"/>
        <family val="1"/>
        <charset val="2"/>
      </rPr>
      <t>g</t>
    </r>
  </si>
  <si>
    <t>sq</t>
  </si>
  <si>
    <t>dq</t>
  </si>
  <si>
    <t>iq</t>
  </si>
  <si>
    <t>sc</t>
  </si>
  <si>
    <t>dc</t>
  </si>
  <si>
    <t>ic</t>
  </si>
  <si>
    <t>k</t>
  </si>
  <si>
    <t>Término de "c" [kPa]</t>
  </si>
  <si>
    <t>Capacidad de carga última [kPa]</t>
  </si>
  <si>
    <t>no hace corrección por b y g (incl. Base y terreno)</t>
  </si>
  <si>
    <r>
      <t>Término de "</t>
    </r>
    <r>
      <rPr>
        <sz val="10"/>
        <color rgb="FFFF0000"/>
        <rFont val="Symbol"/>
        <family val="1"/>
        <charset val="2"/>
      </rPr>
      <t>g</t>
    </r>
    <r>
      <rPr>
        <sz val="10"/>
        <color rgb="FFFF0000"/>
        <rFont val="Arial"/>
        <family val="2"/>
      </rPr>
      <t>" [kPa]</t>
    </r>
  </si>
  <si>
    <t>Carga última nominal Rk [kN]</t>
  </si>
  <si>
    <t>Término de "q" [kPa]</t>
  </si>
  <si>
    <t>Factor de resistencia RF</t>
  </si>
  <si>
    <t>Suma [kPa]</t>
  </si>
  <si>
    <t>Carga última de diseño Rd [kN]</t>
  </si>
  <si>
    <t>2- resolución ELS</t>
  </si>
  <si>
    <t>cf</t>
  </si>
  <si>
    <t>E</t>
  </si>
  <si>
    <t>p</t>
  </si>
  <si>
    <t>p_neta</t>
  </si>
  <si>
    <r>
      <t>R</t>
    </r>
    <r>
      <rPr>
        <b/>
        <vertAlign val="subscript"/>
        <sz val="10"/>
        <rFont val="Arial"/>
        <family val="2"/>
      </rPr>
      <t>ELS</t>
    </r>
  </si>
  <si>
    <t>kN</t>
  </si>
  <si>
    <t>W</t>
  </si>
  <si>
    <t>mm</t>
  </si>
  <si>
    <t>Carga última nominal Rk [MN]</t>
  </si>
  <si>
    <t>FoS</t>
  </si>
  <si>
    <t>Carga última de diseño Rd [MN]</t>
  </si>
  <si>
    <t>B=L</t>
  </si>
  <si>
    <r>
      <t>W</t>
    </r>
    <r>
      <rPr>
        <b/>
        <vertAlign val="subscript"/>
        <sz val="10"/>
        <rFont val="Arial"/>
        <family val="2"/>
      </rPr>
      <t>base</t>
    </r>
  </si>
  <si>
    <t>qf*B*L</t>
  </si>
  <si>
    <r>
      <t>tg(2/3</t>
    </r>
    <r>
      <rPr>
        <b/>
        <sz val="10"/>
        <rFont val="Symbol"/>
        <family val="1"/>
        <charset val="2"/>
      </rPr>
      <t>f</t>
    </r>
    <r>
      <rPr>
        <b/>
        <sz val="10"/>
        <rFont val="Arial"/>
        <family val="2"/>
      </rPr>
      <t>)</t>
    </r>
  </si>
  <si>
    <r>
      <t>FS</t>
    </r>
    <r>
      <rPr>
        <b/>
        <vertAlign val="subscript"/>
        <sz val="10"/>
        <rFont val="Arial"/>
        <family val="2"/>
      </rPr>
      <t>ver</t>
    </r>
  </si>
  <si>
    <r>
      <t>FS</t>
    </r>
    <r>
      <rPr>
        <b/>
        <vertAlign val="subscript"/>
        <sz val="10"/>
        <rFont val="Arial"/>
        <family val="2"/>
      </rPr>
      <t>des</t>
    </r>
  </si>
  <si>
    <t>(MN)</t>
  </si>
  <si>
    <t>Vmax</t>
  </si>
  <si>
    <t>3x3</t>
  </si>
  <si>
    <t>Vmin</t>
  </si>
  <si>
    <t>4x4</t>
  </si>
  <si>
    <t>6x6</t>
  </si>
  <si>
    <t>7x7</t>
  </si>
  <si>
    <t>7.5x7.5</t>
  </si>
  <si>
    <t>EJERCICIO 4 PPT</t>
  </si>
  <si>
    <t>diam</t>
  </si>
  <si>
    <t>NF</t>
  </si>
  <si>
    <t>Unidad</t>
  </si>
  <si>
    <t>Estrato</t>
  </si>
  <si>
    <t>prof.</t>
  </si>
  <si>
    <t>qt</t>
  </si>
  <si>
    <t>fs</t>
  </si>
  <si>
    <r>
      <rPr>
        <sz val="11"/>
        <color theme="1"/>
        <rFont val="Symbol"/>
        <family val="1"/>
        <charset val="2"/>
      </rPr>
      <t>s</t>
    </r>
    <r>
      <rPr>
        <vertAlign val="subscript"/>
        <sz val="11"/>
        <color theme="1"/>
        <rFont val="Calibri (Body)"/>
      </rPr>
      <t>v</t>
    </r>
  </si>
  <si>
    <r>
      <rPr>
        <sz val="11"/>
        <color theme="1"/>
        <rFont val="Symbol"/>
        <family val="1"/>
        <charset val="2"/>
      </rPr>
      <t>s</t>
    </r>
    <r>
      <rPr>
        <sz val="11"/>
        <color theme="1"/>
        <rFont val="Arial"/>
        <family val="2"/>
      </rPr>
      <t>´</t>
    </r>
    <r>
      <rPr>
        <vertAlign val="subscript"/>
        <sz val="11"/>
        <color theme="1"/>
        <rFont val="Calibri (Body)"/>
      </rPr>
      <t>v</t>
    </r>
  </si>
  <si>
    <t>U1</t>
  </si>
  <si>
    <t>0 - 2m</t>
  </si>
  <si>
    <t>U2</t>
  </si>
  <si>
    <t>2 - 4m</t>
  </si>
  <si>
    <t>U3</t>
  </si>
  <si>
    <t>4 - 6m</t>
  </si>
  <si>
    <t>U4</t>
  </si>
  <si>
    <t>6 - 10m</t>
  </si>
  <si>
    <t>qn=qt-sv</t>
  </si>
  <si>
    <t>Qt=qn/s´v</t>
  </si>
  <si>
    <t>Fr=fs/qn</t>
  </si>
  <si>
    <t>Bq=(u2-u0)/qn</t>
  </si>
  <si>
    <t>Clasificación Robertson</t>
  </si>
  <si>
    <t>SBT</t>
  </si>
  <si>
    <t xml:space="preserve">suelo fino sensitivo </t>
  </si>
  <si>
    <t>suelo orgánico</t>
  </si>
  <si>
    <t>Parámetros geotécnicos</t>
  </si>
  <si>
    <t>su=(qt-sv)/Nkt</t>
  </si>
  <si>
    <t>Resistencia última por fricción</t>
  </si>
  <si>
    <t>espesor estr.</t>
  </si>
  <si>
    <t>a</t>
  </si>
  <si>
    <t>fs_i</t>
  </si>
  <si>
    <t>A_i</t>
  </si>
  <si>
    <t>(m2)</t>
  </si>
  <si>
    <t>Quf (kN)</t>
  </si>
  <si>
    <t>EJERCICIO 5 PPT</t>
  </si>
  <si>
    <t>IP</t>
  </si>
  <si>
    <r>
      <rPr>
        <sz val="11"/>
        <color theme="1"/>
        <rFont val="Symbol"/>
        <family val="1"/>
        <charset val="2"/>
      </rPr>
      <t>f</t>
    </r>
    <r>
      <rPr>
        <vertAlign val="subscript"/>
        <sz val="11"/>
        <color theme="1"/>
        <rFont val="Calibri (Body)"/>
      </rPr>
      <t>cv</t>
    </r>
  </si>
  <si>
    <r>
      <rPr>
        <sz val="11"/>
        <color theme="1"/>
        <rFont val="Symbol"/>
        <family val="1"/>
        <charset val="2"/>
      </rPr>
      <t>f</t>
    </r>
    <r>
      <rPr>
        <vertAlign val="subscript"/>
        <sz val="11"/>
        <color theme="1"/>
        <rFont val="Calibri"/>
        <family val="2"/>
      </rPr>
      <t>max</t>
    </r>
  </si>
  <si>
    <t>tan fcv</t>
  </si>
  <si>
    <t>tan 3/4f</t>
  </si>
  <si>
    <t>(º)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</si>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</sst>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12"/>
      <color theme="1"/>
      <name val="Calibri"/>
      <family val="2"/>
      <charset val="2"/>
      <scheme val="minor"/>
    </font>
    <font>
      <b/>
      <sz val="12"/>
      <color theme="1"/>
      <name val="Calibri"/>
      <family val="2"/>
      <charset val="2"/>
      <scheme val="minor"/>
    </font>
    <font>
      <b/>
      <sz val="12"/>
      <color theme="1"/>
      <name val="Symbol"/>
      <family val="1"/>
      <charset val="2"/>
    </font>
    <font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Roman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sz val="11"/>
      <color theme="1"/>
      <name val="Calibri"/>
      <family val="2"/>
      <charset val="2"/>
      <scheme val="minor"/>
    </font>
    <font>
      <sz val="10"/>
      <name val="Lohit Hindi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bscript"/>
      <sz val="10"/>
      <name val="Arial"/>
      <family val="2"/>
    </font>
    <font>
      <sz val="10"/>
      <color rgb="FF0000FF"/>
      <name val="Arial"/>
      <family val="2"/>
    </font>
    <font>
      <b/>
      <sz val="10"/>
      <color rgb="FFFF0000"/>
      <name val="Arial"/>
      <family val="2"/>
    </font>
    <font>
      <b/>
      <vertAlign val="subscript"/>
      <sz val="10"/>
      <color rgb="FFFF0000"/>
      <name val="Arial"/>
      <family val="2"/>
    </font>
    <font>
      <vertAlign val="superscript"/>
      <sz val="10"/>
      <name val="Arial"/>
      <family val="2"/>
    </font>
    <font>
      <sz val="10"/>
      <color rgb="FFFF0000"/>
      <name val="Symbol"/>
      <family val="1"/>
      <charset val="2"/>
    </font>
    <font>
      <vertAlign val="superscript"/>
      <sz val="10"/>
      <color rgb="FFFF0000"/>
      <name val="Arial"/>
      <family val="2"/>
    </font>
    <font>
      <sz val="10"/>
      <name val="Symbol"/>
      <family val="1"/>
      <charset val="2"/>
    </font>
    <font>
      <vertAlign val="subscript"/>
      <sz val="10"/>
      <name val="Arial Narrow"/>
      <family val="2"/>
    </font>
    <font>
      <sz val="10"/>
      <name val="Symbol"/>
      <family val="1"/>
    </font>
    <font>
      <vertAlign val="subscript"/>
      <sz val="10"/>
      <name val="Symbol"/>
      <family val="1"/>
      <charset val="2"/>
    </font>
    <font>
      <sz val="10"/>
      <name val="GreekC"/>
    </font>
    <font>
      <b/>
      <sz val="9"/>
      <color rgb="FF000000"/>
      <name val="Tahoma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vertAlign val="subscript"/>
      <sz val="10"/>
      <name val="Arial"/>
      <family val="2"/>
    </font>
    <font>
      <vertAlign val="subscript"/>
      <sz val="10"/>
      <color rgb="FFFF0000"/>
      <name val="Symbol"/>
      <family val="1"/>
      <charset val="2"/>
    </font>
    <font>
      <b/>
      <sz val="10"/>
      <name val="Symbol"/>
      <family val="1"/>
      <charset val="2"/>
    </font>
    <font>
      <sz val="11"/>
      <color theme="1"/>
      <name val="Symbol"/>
      <family val="1"/>
      <charset val="2"/>
    </font>
    <font>
      <sz val="11"/>
      <color theme="1"/>
      <name val="Calibri"/>
      <family val="2"/>
      <charset val="2"/>
      <scheme val="minor"/>
    </font>
    <font>
      <vertAlign val="subscript"/>
      <sz val="11"/>
      <color theme="1"/>
      <name val="Calibri (Body)"/>
    </font>
    <font>
      <sz val="11"/>
      <color theme="1"/>
      <name val="Calibri"/>
      <family val="2"/>
      <charset val="2"/>
    </font>
    <font>
      <sz val="11"/>
      <color theme="1"/>
      <name val="Arial"/>
      <family val="2"/>
    </font>
    <font>
      <vertAlign val="subscript"/>
      <sz val="11"/>
      <color theme="1"/>
      <name val="Calibri"/>
      <family val="2"/>
    </font>
    <font>
      <b/>
      <sz val="12"/>
      <color theme="1"/>
      <name val="Symbol"/>
      <family val="1"/>
      <charset val="2"/>
    </font>
    <font>
      <b/>
      <sz val="12"/>
      <color theme="1"/>
      <name val="Calibri"/>
      <family val="1"/>
      <charset val="2"/>
      <scheme val="minor"/>
    </font>
    <font>
      <b/>
      <vertAlign val="subscript"/>
      <sz val="12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6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rgb="FFFFFF99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9" fontId="9" fillId="0" borderId="0" applyFont="0" applyFill="0" applyBorder="0" applyAlignment="0" applyProtection="0"/>
    <xf numFmtId="0" fontId="10" fillId="0" borderId="0"/>
    <xf numFmtId="0" fontId="15" fillId="0" borderId="0"/>
    <xf numFmtId="9" fontId="10" fillId="0" borderId="0" applyFont="0" applyFill="0" applyBorder="0" applyAlignment="0" applyProtection="0"/>
  </cellStyleXfs>
  <cellXfs count="234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3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4" xfId="0" applyFon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4" xfId="0" applyBorder="1"/>
    <xf numFmtId="0" fontId="0" fillId="0" borderId="15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6" xfId="0" applyBorder="1"/>
    <xf numFmtId="0" fontId="0" fillId="3" borderId="16" xfId="0" applyFill="1" applyBorder="1"/>
    <xf numFmtId="0" fontId="2" fillId="0" borderId="10" xfId="0" applyFont="1" applyBorder="1"/>
    <xf numFmtId="0" fontId="6" fillId="0" borderId="0" xfId="0" applyFont="1" applyAlignment="1">
      <alignment horizontal="center"/>
    </xf>
    <xf numFmtId="165" fontId="0" fillId="4" borderId="13" xfId="0" applyNumberFormat="1" applyFill="1" applyBorder="1" applyAlignment="1">
      <alignment horizontal="center"/>
    </xf>
    <xf numFmtId="2" fontId="0" fillId="5" borderId="0" xfId="0" applyNumberFormat="1" applyFill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165" fontId="1" fillId="0" borderId="18" xfId="0" applyNumberFormat="1" applyFon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8" xfId="0" applyFont="1" applyBorder="1" applyAlignment="1">
      <alignment horizontal="center"/>
    </xf>
    <xf numFmtId="2" fontId="0" fillId="4" borderId="0" xfId="0" applyNumberFormat="1" applyFill="1" applyAlignment="1">
      <alignment horizontal="center"/>
    </xf>
    <xf numFmtId="1" fontId="0" fillId="0" borderId="0" xfId="0" applyNumberFormat="1" applyAlignment="1">
      <alignment horizontal="right"/>
    </xf>
    <xf numFmtId="0" fontId="3" fillId="0" borderId="2" xfId="0" applyFont="1" applyBorder="1" applyAlignment="1">
      <alignment horizontal="center"/>
    </xf>
    <xf numFmtId="0" fontId="0" fillId="0" borderId="1" xfId="0" applyBorder="1"/>
    <xf numFmtId="1" fontId="0" fillId="0" borderId="2" xfId="0" applyNumberFormat="1" applyBorder="1" applyAlignment="1">
      <alignment horizontal="center"/>
    </xf>
    <xf numFmtId="0" fontId="0" fillId="0" borderId="17" xfId="0" applyBorder="1"/>
    <xf numFmtId="1" fontId="0" fillId="0" borderId="0" xfId="0" applyNumberFormat="1" applyAlignment="1">
      <alignment horizontal="center"/>
    </xf>
    <xf numFmtId="0" fontId="0" fillId="0" borderId="4" xfId="0" applyBorder="1"/>
    <xf numFmtId="1" fontId="0" fillId="0" borderId="5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left"/>
    </xf>
    <xf numFmtId="165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7" xfId="0" applyFont="1" applyBorder="1"/>
    <xf numFmtId="165" fontId="0" fillId="0" borderId="8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0" fontId="5" fillId="0" borderId="14" xfId="0" applyFont="1" applyBorder="1"/>
    <xf numFmtId="165" fontId="0" fillId="0" borderId="15" xfId="0" applyNumberFormat="1" applyBorder="1" applyAlignment="1">
      <alignment horizontal="center"/>
    </xf>
    <xf numFmtId="0" fontId="1" fillId="0" borderId="10" xfId="0" applyFont="1" applyBorder="1"/>
    <xf numFmtId="1" fontId="0" fillId="0" borderId="8" xfId="0" applyNumberFormat="1" applyBorder="1" applyAlignment="1">
      <alignment horizontal="center"/>
    </xf>
    <xf numFmtId="9" fontId="0" fillId="0" borderId="11" xfId="1" applyFont="1" applyBorder="1" applyAlignment="1">
      <alignment horizontal="center"/>
    </xf>
    <xf numFmtId="9" fontId="0" fillId="0" borderId="12" xfId="1" applyFont="1" applyBorder="1" applyAlignment="1">
      <alignment horizontal="center"/>
    </xf>
    <xf numFmtId="0" fontId="10" fillId="0" borderId="0" xfId="2" applyAlignment="1">
      <alignment horizontal="center"/>
    </xf>
    <xf numFmtId="0" fontId="10" fillId="0" borderId="0" xfId="2" applyAlignment="1">
      <alignment horizontal="right"/>
    </xf>
    <xf numFmtId="0" fontId="10" fillId="0" borderId="0" xfId="2"/>
    <xf numFmtId="0" fontId="10" fillId="0" borderId="0" xfId="2" quotePrefix="1" applyAlignment="1">
      <alignment horizontal="center"/>
    </xf>
    <xf numFmtId="0" fontId="10" fillId="0" borderId="0" xfId="2" quotePrefix="1" applyAlignment="1">
      <alignment horizontal="right"/>
    </xf>
    <xf numFmtId="2" fontId="10" fillId="0" borderId="0" xfId="2" applyNumberFormat="1" applyAlignment="1">
      <alignment horizontal="center"/>
    </xf>
    <xf numFmtId="164" fontId="10" fillId="0" borderId="0" xfId="2" applyNumberFormat="1" applyAlignment="1">
      <alignment horizontal="center"/>
    </xf>
    <xf numFmtId="165" fontId="10" fillId="0" borderId="0" xfId="2" applyNumberFormat="1" applyAlignment="1">
      <alignment horizontal="center"/>
    </xf>
    <xf numFmtId="1" fontId="10" fillId="0" borderId="0" xfId="2" applyNumberFormat="1" applyAlignment="1">
      <alignment horizontal="center"/>
    </xf>
    <xf numFmtId="0" fontId="11" fillId="0" borderId="0" xfId="2" applyFont="1" applyAlignment="1">
      <alignment horizontal="center"/>
    </xf>
    <xf numFmtId="9" fontId="0" fillId="0" borderId="0" xfId="1" applyFont="1" applyBorder="1" applyAlignment="1">
      <alignment horizontal="center"/>
    </xf>
    <xf numFmtId="0" fontId="1" fillId="0" borderId="14" xfId="0" applyFont="1" applyBorder="1"/>
    <xf numFmtId="0" fontId="11" fillId="0" borderId="10" xfId="2" applyFont="1" applyBorder="1" applyAlignment="1">
      <alignment horizontal="left"/>
    </xf>
    <xf numFmtId="0" fontId="10" fillId="0" borderId="9" xfId="2" applyBorder="1"/>
    <xf numFmtId="0" fontId="10" fillId="0" borderId="15" xfId="2" applyBorder="1"/>
    <xf numFmtId="1" fontId="10" fillId="0" borderId="11" xfId="2" applyNumberFormat="1" applyBorder="1" applyAlignment="1">
      <alignment horizontal="center"/>
    </xf>
    <xf numFmtId="0" fontId="10" fillId="0" borderId="12" xfId="2" applyBorder="1"/>
    <xf numFmtId="0" fontId="14" fillId="0" borderId="0" xfId="2" applyFont="1" applyAlignment="1">
      <alignment horizontal="center"/>
    </xf>
    <xf numFmtId="0" fontId="17" fillId="0" borderId="0" xfId="3" applyFont="1"/>
    <xf numFmtId="0" fontId="15" fillId="0" borderId="0" xfId="3"/>
    <xf numFmtId="0" fontId="18" fillId="0" borderId="0" xfId="3" applyFont="1"/>
    <xf numFmtId="0" fontId="21" fillId="8" borderId="32" xfId="3" applyFont="1" applyFill="1" applyBorder="1" applyAlignment="1">
      <alignment horizontal="left" vertical="center"/>
    </xf>
    <xf numFmtId="0" fontId="21" fillId="8" borderId="33" xfId="3" applyFont="1" applyFill="1" applyBorder="1" applyAlignment="1">
      <alignment horizontal="left" vertical="center"/>
    </xf>
    <xf numFmtId="0" fontId="21" fillId="8" borderId="4" xfId="3" applyFont="1" applyFill="1" applyBorder="1" applyAlignment="1">
      <alignment horizontal="center" vertical="center"/>
    </xf>
    <xf numFmtId="0" fontId="21" fillId="8" borderId="32" xfId="3" applyFont="1" applyFill="1" applyBorder="1" applyAlignment="1">
      <alignment horizontal="center" vertical="center"/>
    </xf>
    <xf numFmtId="0" fontId="16" fillId="0" borderId="34" xfId="3" applyFont="1" applyBorder="1" applyAlignment="1">
      <alignment horizontal="center"/>
    </xf>
    <xf numFmtId="0" fontId="16" fillId="0" borderId="32" xfId="3" applyFont="1" applyBorder="1" applyAlignment="1">
      <alignment horizontal="center"/>
    </xf>
    <xf numFmtId="165" fontId="16" fillId="0" borderId="34" xfId="3" applyNumberFormat="1" applyFont="1" applyBorder="1" applyAlignment="1" applyProtection="1">
      <alignment horizontal="center"/>
      <protection locked="0"/>
    </xf>
    <xf numFmtId="165" fontId="16" fillId="0" borderId="32" xfId="3" applyNumberFormat="1" applyFont="1" applyBorder="1" applyAlignment="1" applyProtection="1">
      <alignment horizontal="center"/>
      <protection locked="0"/>
    </xf>
    <xf numFmtId="165" fontId="16" fillId="0" borderId="34" xfId="3" applyNumberFormat="1" applyFont="1" applyBorder="1" applyAlignment="1">
      <alignment horizontal="center"/>
    </xf>
    <xf numFmtId="2" fontId="16" fillId="0" borderId="32" xfId="3" applyNumberFormat="1" applyFont="1" applyBorder="1" applyAlignment="1">
      <alignment horizontal="center"/>
    </xf>
    <xf numFmtId="0" fontId="16" fillId="0" borderId="0" xfId="3" applyFont="1"/>
    <xf numFmtId="0" fontId="16" fillId="0" borderId="0" xfId="3" applyFont="1" applyAlignment="1">
      <alignment horizontal="center"/>
    </xf>
    <xf numFmtId="0" fontId="16" fillId="8" borderId="32" xfId="3" applyFont="1" applyFill="1" applyBorder="1" applyAlignment="1">
      <alignment horizontal="center" vertical="center"/>
    </xf>
    <xf numFmtId="164" fontId="16" fillId="0" borderId="0" xfId="3" applyNumberFormat="1" applyFont="1" applyAlignment="1">
      <alignment horizontal="center"/>
    </xf>
    <xf numFmtId="2" fontId="16" fillId="0" borderId="32" xfId="3" applyNumberFormat="1" applyFont="1" applyBorder="1" applyAlignment="1">
      <alignment horizontal="center" vertical="center"/>
    </xf>
    <xf numFmtId="0" fontId="16" fillId="0" borderId="32" xfId="3" applyFont="1" applyBorder="1"/>
    <xf numFmtId="0" fontId="16" fillId="0" borderId="33" xfId="3" applyFont="1" applyBorder="1"/>
    <xf numFmtId="0" fontId="16" fillId="0" borderId="35" xfId="3" applyFont="1" applyBorder="1"/>
    <xf numFmtId="165" fontId="16" fillId="0" borderId="32" xfId="3" applyNumberFormat="1" applyFont="1" applyBorder="1"/>
    <xf numFmtId="0" fontId="17" fillId="0" borderId="0" xfId="3" applyFont="1" applyAlignment="1">
      <alignment vertical="center"/>
    </xf>
    <xf numFmtId="2" fontId="20" fillId="7" borderId="0" xfId="3" applyNumberFormat="1" applyFont="1" applyFill="1" applyAlignment="1" applyProtection="1">
      <alignment horizontal="center"/>
      <protection locked="0"/>
    </xf>
    <xf numFmtId="2" fontId="17" fillId="0" borderId="0" xfId="3" applyNumberFormat="1" applyFont="1" applyAlignment="1" applyProtection="1">
      <alignment horizontal="center"/>
      <protection locked="0"/>
    </xf>
    <xf numFmtId="0" fontId="17" fillId="0" borderId="0" xfId="3" applyFont="1" applyAlignment="1">
      <alignment horizontal="left" vertical="center"/>
    </xf>
    <xf numFmtId="0" fontId="17" fillId="8" borderId="0" xfId="3" applyFont="1" applyFill="1" applyAlignment="1">
      <alignment horizontal="center" vertical="center"/>
    </xf>
    <xf numFmtId="0" fontId="28" fillId="8" borderId="0" xfId="3" applyFont="1" applyFill="1" applyAlignment="1">
      <alignment horizontal="center" vertical="center"/>
    </xf>
    <xf numFmtId="0" fontId="17" fillId="0" borderId="0" xfId="3" applyFont="1" applyAlignment="1">
      <alignment horizontal="center" vertical="center"/>
    </xf>
    <xf numFmtId="165" fontId="17" fillId="0" borderId="0" xfId="3" applyNumberFormat="1" applyFont="1" applyAlignment="1">
      <alignment horizontal="center" vertical="center"/>
    </xf>
    <xf numFmtId="165" fontId="20" fillId="7" borderId="0" xfId="3" applyNumberFormat="1" applyFont="1" applyFill="1" applyAlignment="1" applyProtection="1">
      <alignment horizontal="center"/>
      <protection locked="0"/>
    </xf>
    <xf numFmtId="165" fontId="17" fillId="0" borderId="0" xfId="3" applyNumberFormat="1" applyFont="1" applyAlignment="1" applyProtection="1">
      <alignment horizontal="center"/>
      <protection locked="0"/>
    </xf>
    <xf numFmtId="0" fontId="30" fillId="8" borderId="0" xfId="3" applyFont="1" applyFill="1" applyAlignment="1">
      <alignment horizontal="center" vertical="center"/>
    </xf>
    <xf numFmtId="2" fontId="17" fillId="0" borderId="0" xfId="3" applyNumberFormat="1" applyFont="1" applyAlignment="1">
      <alignment horizontal="center" vertical="center"/>
    </xf>
    <xf numFmtId="164" fontId="17" fillId="0" borderId="0" xfId="3" applyNumberFormat="1" applyFont="1" applyAlignment="1">
      <alignment horizontal="center" vertical="center"/>
    </xf>
    <xf numFmtId="0" fontId="18" fillId="0" borderId="0" xfId="3" applyFont="1" applyAlignment="1">
      <alignment horizontal="left" vertical="center"/>
    </xf>
    <xf numFmtId="1" fontId="33" fillId="0" borderId="0" xfId="3" applyNumberFormat="1" applyFont="1" applyProtection="1">
      <protection locked="0"/>
    </xf>
    <xf numFmtId="0" fontId="33" fillId="0" borderId="0" xfId="3" applyFont="1"/>
    <xf numFmtId="2" fontId="17" fillId="0" borderId="0" xfId="3" applyNumberFormat="1" applyFont="1"/>
    <xf numFmtId="165" fontId="17" fillId="0" borderId="0" xfId="3" applyNumberFormat="1" applyFont="1"/>
    <xf numFmtId="1" fontId="17" fillId="0" borderId="0" xfId="3" applyNumberFormat="1" applyFont="1"/>
    <xf numFmtId="1" fontId="34" fillId="0" borderId="0" xfId="3" applyNumberFormat="1" applyFont="1"/>
    <xf numFmtId="165" fontId="34" fillId="0" borderId="0" xfId="3" applyNumberFormat="1" applyFont="1"/>
    <xf numFmtId="1" fontId="18" fillId="0" borderId="0" xfId="3" applyNumberFormat="1" applyFont="1"/>
    <xf numFmtId="0" fontId="16" fillId="8" borderId="0" xfId="3" applyFont="1" applyFill="1" applyAlignment="1">
      <alignment horizontal="center" vertical="center"/>
    </xf>
    <xf numFmtId="1" fontId="33" fillId="0" borderId="0" xfId="3" applyNumberFormat="1" applyFont="1"/>
    <xf numFmtId="165" fontId="33" fillId="0" borderId="0" xfId="3" applyNumberFormat="1" applyFont="1" applyProtection="1">
      <protection locked="0"/>
    </xf>
    <xf numFmtId="0" fontId="17" fillId="0" borderId="0" xfId="3" applyFont="1" applyAlignment="1">
      <alignment horizontal="center"/>
    </xf>
    <xf numFmtId="0" fontId="18" fillId="0" borderId="7" xfId="3" applyFont="1" applyBorder="1" applyAlignment="1">
      <alignment horizontal="center"/>
    </xf>
    <xf numFmtId="0" fontId="18" fillId="0" borderId="8" xfId="3" applyFont="1" applyBorder="1" applyAlignment="1">
      <alignment horizontal="center"/>
    </xf>
    <xf numFmtId="0" fontId="18" fillId="0" borderId="9" xfId="3" applyFont="1" applyBorder="1" applyAlignment="1">
      <alignment horizontal="center"/>
    </xf>
    <xf numFmtId="0" fontId="18" fillId="0" borderId="10" xfId="3" applyFont="1" applyBorder="1" applyAlignment="1">
      <alignment horizontal="center"/>
    </xf>
    <xf numFmtId="0" fontId="18" fillId="0" borderId="11" xfId="3" applyFont="1" applyBorder="1" applyAlignment="1">
      <alignment horizontal="center"/>
    </xf>
    <xf numFmtId="0" fontId="18" fillId="0" borderId="12" xfId="3" applyFont="1" applyBorder="1" applyAlignment="1">
      <alignment horizontal="center"/>
    </xf>
    <xf numFmtId="0" fontId="17" fillId="0" borderId="7" xfId="3" applyFont="1" applyBorder="1" applyAlignment="1">
      <alignment horizontal="center"/>
    </xf>
    <xf numFmtId="2" fontId="17" fillId="0" borderId="8" xfId="3" applyNumberFormat="1" applyFont="1" applyBorder="1" applyAlignment="1">
      <alignment horizontal="center"/>
    </xf>
    <xf numFmtId="0" fontId="17" fillId="0" borderId="8" xfId="3" applyFont="1" applyBorder="1" applyAlignment="1">
      <alignment horizontal="center"/>
    </xf>
    <xf numFmtId="2" fontId="17" fillId="0" borderId="9" xfId="3" applyNumberFormat="1" applyFont="1" applyBorder="1" applyAlignment="1">
      <alignment horizontal="center"/>
    </xf>
    <xf numFmtId="0" fontId="17" fillId="0" borderId="14" xfId="3" applyFont="1" applyBorder="1" applyAlignment="1">
      <alignment horizontal="center"/>
    </xf>
    <xf numFmtId="2" fontId="17" fillId="0" borderId="0" xfId="3" applyNumberFormat="1" applyFont="1" applyAlignment="1">
      <alignment horizontal="center"/>
    </xf>
    <xf numFmtId="2" fontId="17" fillId="0" borderId="15" xfId="3" applyNumberFormat="1" applyFont="1" applyBorder="1" applyAlignment="1">
      <alignment horizontal="center"/>
    </xf>
    <xf numFmtId="165" fontId="17" fillId="0" borderId="0" xfId="3" applyNumberFormat="1" applyFont="1" applyAlignment="1">
      <alignment horizontal="center"/>
    </xf>
    <xf numFmtId="2" fontId="18" fillId="0" borderId="11" xfId="3" applyNumberFormat="1" applyFont="1" applyBorder="1" applyAlignment="1">
      <alignment horizontal="center"/>
    </xf>
    <xf numFmtId="2" fontId="18" fillId="0" borderId="12" xfId="3" applyNumberFormat="1" applyFont="1" applyBorder="1" applyAlignment="1">
      <alignment horizontal="center"/>
    </xf>
    <xf numFmtId="0" fontId="11" fillId="7" borderId="0" xfId="2" applyFont="1" applyFill="1"/>
    <xf numFmtId="0" fontId="10" fillId="7" borderId="0" xfId="2" applyFill="1"/>
    <xf numFmtId="0" fontId="11" fillId="0" borderId="0" xfId="2" applyFont="1"/>
    <xf numFmtId="0" fontId="10" fillId="0" borderId="1" xfId="2" applyBorder="1" applyAlignment="1">
      <alignment horizontal="center"/>
    </xf>
    <xf numFmtId="0" fontId="10" fillId="0" borderId="2" xfId="2" applyBorder="1" applyAlignment="1">
      <alignment horizontal="center"/>
    </xf>
    <xf numFmtId="0" fontId="10" fillId="0" borderId="3" xfId="2" applyBorder="1" applyAlignment="1">
      <alignment horizontal="center"/>
    </xf>
    <xf numFmtId="0" fontId="10" fillId="0" borderId="17" xfId="2" applyBorder="1" applyAlignment="1">
      <alignment horizontal="center"/>
    </xf>
    <xf numFmtId="0" fontId="10" fillId="0" borderId="18" xfId="2" applyBorder="1" applyAlignment="1">
      <alignment horizontal="center"/>
    </xf>
    <xf numFmtId="0" fontId="10" fillId="0" borderId="4" xfId="2" applyBorder="1" applyAlignment="1">
      <alignment horizontal="center"/>
    </xf>
    <xf numFmtId="0" fontId="10" fillId="0" borderId="5" xfId="2" applyBorder="1" applyAlignment="1">
      <alignment horizontal="center"/>
    </xf>
    <xf numFmtId="0" fontId="10" fillId="0" borderId="6" xfId="2" applyBorder="1" applyAlignment="1">
      <alignment horizontal="center"/>
    </xf>
    <xf numFmtId="164" fontId="10" fillId="0" borderId="18" xfId="2" applyNumberFormat="1" applyBorder="1" applyAlignment="1">
      <alignment horizontal="center"/>
    </xf>
    <xf numFmtId="2" fontId="10" fillId="0" borderId="5" xfId="2" applyNumberFormat="1" applyBorder="1" applyAlignment="1">
      <alignment horizontal="center"/>
    </xf>
    <xf numFmtId="164" fontId="10" fillId="0" borderId="5" xfId="2" applyNumberFormat="1" applyBorder="1" applyAlignment="1">
      <alignment horizontal="center"/>
    </xf>
    <xf numFmtId="164" fontId="10" fillId="0" borderId="6" xfId="2" applyNumberFormat="1" applyBorder="1" applyAlignment="1">
      <alignment horizontal="center"/>
    </xf>
    <xf numFmtId="0" fontId="10" fillId="0" borderId="32" xfId="2" applyBorder="1"/>
    <xf numFmtId="0" fontId="10" fillId="0" borderId="35" xfId="2" applyBorder="1"/>
    <xf numFmtId="0" fontId="10" fillId="0" borderId="3" xfId="2" applyBorder="1"/>
    <xf numFmtId="0" fontId="10" fillId="0" borderId="18" xfId="2" applyBorder="1"/>
    <xf numFmtId="0" fontId="10" fillId="0" borderId="6" xfId="2" applyBorder="1"/>
    <xf numFmtId="0" fontId="10" fillId="0" borderId="33" xfId="2" applyBorder="1"/>
    <xf numFmtId="0" fontId="10" fillId="0" borderId="1" xfId="2" applyBorder="1"/>
    <xf numFmtId="0" fontId="38" fillId="0" borderId="2" xfId="2" applyFont="1" applyBorder="1" applyAlignment="1">
      <alignment horizontal="center"/>
    </xf>
    <xf numFmtId="1" fontId="10" fillId="0" borderId="18" xfId="2" applyNumberFormat="1" applyBorder="1" applyAlignment="1">
      <alignment horizontal="center"/>
    </xf>
    <xf numFmtId="165" fontId="10" fillId="0" borderId="5" xfId="2" applyNumberFormat="1" applyBorder="1" applyAlignment="1">
      <alignment horizontal="center"/>
    </xf>
    <xf numFmtId="1" fontId="10" fillId="0" borderId="6" xfId="2" applyNumberFormat="1" applyBorder="1" applyAlignment="1">
      <alignment horizontal="center"/>
    </xf>
    <xf numFmtId="16" fontId="10" fillId="0" borderId="17" xfId="2" applyNumberFormat="1" applyBorder="1" applyAlignment="1">
      <alignment horizontal="center"/>
    </xf>
    <xf numFmtId="0" fontId="41" fillId="0" borderId="2" xfId="2" applyFont="1" applyBorder="1" applyAlignment="1">
      <alignment horizontal="center"/>
    </xf>
    <xf numFmtId="0" fontId="41" fillId="0" borderId="3" xfId="2" applyFont="1" applyBorder="1" applyAlignment="1">
      <alignment horizontal="center"/>
    </xf>
    <xf numFmtId="0" fontId="10" fillId="0" borderId="19" xfId="2" applyBorder="1" applyAlignment="1">
      <alignment horizontal="center"/>
    </xf>
    <xf numFmtId="0" fontId="10" fillId="0" borderId="20" xfId="2" applyBorder="1" applyAlignment="1">
      <alignment horizontal="center"/>
    </xf>
    <xf numFmtId="0" fontId="10" fillId="0" borderId="21" xfId="2" applyBorder="1" applyAlignment="1">
      <alignment horizontal="center"/>
    </xf>
    <xf numFmtId="10" fontId="10" fillId="0" borderId="18" xfId="4" applyNumberFormat="1" applyFont="1" applyFill="1" applyBorder="1" applyAlignment="1">
      <alignment horizontal="center"/>
    </xf>
    <xf numFmtId="10" fontId="10" fillId="0" borderId="6" xfId="4" applyNumberFormat="1" applyFont="1" applyFill="1" applyBorder="1" applyAlignment="1">
      <alignment horizontal="center"/>
    </xf>
    <xf numFmtId="0" fontId="10" fillId="0" borderId="18" xfId="2" applyBorder="1" applyAlignment="1">
      <alignment horizontal="center" vertical="center"/>
    </xf>
    <xf numFmtId="0" fontId="39" fillId="0" borderId="3" xfId="2" applyFont="1" applyBorder="1" applyAlignment="1">
      <alignment horizontal="center" vertical="center"/>
    </xf>
    <xf numFmtId="2" fontId="10" fillId="0" borderId="18" xfId="2" applyNumberFormat="1" applyBorder="1" applyAlignment="1">
      <alignment horizontal="center"/>
    </xf>
    <xf numFmtId="1" fontId="10" fillId="0" borderId="5" xfId="2" applyNumberFormat="1" applyBorder="1" applyAlignment="1">
      <alignment horizontal="center"/>
    </xf>
    <xf numFmtId="2" fontId="10" fillId="0" borderId="6" xfId="2" applyNumberFormat="1" applyBorder="1" applyAlignment="1">
      <alignment horizontal="center"/>
    </xf>
    <xf numFmtId="165" fontId="10" fillId="0" borderId="18" xfId="2" applyNumberFormat="1" applyBorder="1" applyAlignment="1">
      <alignment horizontal="center"/>
    </xf>
    <xf numFmtId="165" fontId="10" fillId="0" borderId="6" xfId="2" applyNumberFormat="1" applyBorder="1" applyAlignment="1">
      <alignment horizontal="center"/>
    </xf>
    <xf numFmtId="0" fontId="34" fillId="0" borderId="2" xfId="2" applyFont="1" applyBorder="1" applyAlignment="1">
      <alignment horizontal="center"/>
    </xf>
    <xf numFmtId="0" fontId="1" fillId="0" borderId="34" xfId="0" applyFont="1" applyBorder="1"/>
    <xf numFmtId="0" fontId="0" fillId="0" borderId="34" xfId="0" applyBorder="1"/>
    <xf numFmtId="0" fontId="44" fillId="0" borderId="34" xfId="0" applyFont="1" applyBorder="1"/>
    <xf numFmtId="0" fontId="45" fillId="0" borderId="34" xfId="0" applyFont="1" applyBorder="1"/>
    <xf numFmtId="0" fontId="0" fillId="0" borderId="34" xfId="0" applyBorder="1" applyAlignment="1">
      <alignment horizontal="center"/>
    </xf>
    <xf numFmtId="165" fontId="0" fillId="0" borderId="34" xfId="0" applyNumberFormat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44" fillId="4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0" fillId="0" borderId="0" xfId="2" applyAlignment="1">
      <alignment horizontal="center"/>
    </xf>
    <xf numFmtId="0" fontId="32" fillId="8" borderId="0" xfId="3" applyFont="1" applyFill="1" applyAlignment="1">
      <alignment horizontal="center" vertical="center"/>
    </xf>
    <xf numFmtId="0" fontId="16" fillId="4" borderId="0" xfId="3" applyFont="1" applyFill="1" applyAlignment="1">
      <alignment horizontal="center"/>
    </xf>
    <xf numFmtId="0" fontId="32" fillId="6" borderId="0" xfId="3" applyFont="1" applyFill="1" applyAlignment="1">
      <alignment horizontal="left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" fillId="0" borderId="0" xfId="0" applyFont="1" applyFill="1"/>
  </cellXfs>
  <cellStyles count="5">
    <cellStyle name="Normal" xfId="0" builtinId="0"/>
    <cellStyle name="Normal 2" xfId="2" xr:uid="{1C403D3C-2AD9-E448-8DE0-BCB532BE74AA}"/>
    <cellStyle name="Normal 3" xfId="3" xr:uid="{17209FBB-0A6D-A54B-92E4-0A9733BD4614}"/>
    <cellStyle name="Percent 2" xfId="4" xr:uid="{506FE456-E1BD-7E49-B4F2-53706898C552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7.7692038495188118E-2"/>
          <c:y val="0.18560185185185185"/>
          <c:w val="0.89019685039370078"/>
          <c:h val="0.72088764946048411"/>
        </c:manualLayout>
      </c:layout>
      <c:scatterChart>
        <c:scatterStyle val="lineMarker"/>
        <c:varyColors val="0"/>
        <c:ser>
          <c:idx val="0"/>
          <c:order val="0"/>
          <c:tx>
            <c:v>Iz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'E_1.2'!$C$45:$C$85</c:f>
              <c:numCache>
                <c:formatCode>0.000</c:formatCode>
                <c:ptCount val="41"/>
                <c:pt idx="0">
                  <c:v>0.99999999987424815</c:v>
                </c:pt>
                <c:pt idx="1">
                  <c:v>0.99901504386147655</c:v>
                </c:pt>
                <c:pt idx="2">
                  <c:v>0.99676096292345562</c:v>
                </c:pt>
                <c:pt idx="3">
                  <c:v>0.99258991382451767</c:v>
                </c:pt>
                <c:pt idx="4">
                  <c:v>0.98615316701114109</c:v>
                </c:pt>
                <c:pt idx="5">
                  <c:v>0.9194904267015015</c:v>
                </c:pt>
                <c:pt idx="6">
                  <c:v>0.81830988618379075</c:v>
                </c:pt>
                <c:pt idx="7">
                  <c:v>0.71524302013470586</c:v>
                </c:pt>
                <c:pt idx="8">
                  <c:v>0.62490340352507667</c:v>
                </c:pt>
                <c:pt idx="9">
                  <c:v>0.54981514424789912</c:v>
                </c:pt>
                <c:pt idx="10">
                  <c:v>0.48826237922726501</c:v>
                </c:pt>
                <c:pt idx="11">
                  <c:v>0.4377001536291581</c:v>
                </c:pt>
                <c:pt idx="12">
                  <c:v>0.39581869640940787</c:v>
                </c:pt>
                <c:pt idx="13">
                  <c:v>0.36076360926582823</c:v>
                </c:pt>
                <c:pt idx="14" formatCode="0.0">
                  <c:v>0.33110479960078876</c:v>
                </c:pt>
                <c:pt idx="15" formatCode="0.0">
                  <c:v>0.30575114837064016</c:v>
                </c:pt>
                <c:pt idx="16" formatCode="0.0">
                  <c:v>0.28386873845014665</c:v>
                </c:pt>
                <c:pt idx="17" formatCode="0.0">
                  <c:v>0.26481560652232727</c:v>
                </c:pt>
                <c:pt idx="18" formatCode="0.0">
                  <c:v>0.24809279567946033</c:v>
                </c:pt>
                <c:pt idx="19" formatCode="0.0">
                  <c:v>0.2333084303903171</c:v>
                </c:pt>
                <c:pt idx="20" formatCode="0.0">
                  <c:v>0.22015148158078737</c:v>
                </c:pt>
                <c:pt idx="21" formatCode="0.0">
                  <c:v>0.20837255218481734</c:v>
                </c:pt>
                <c:pt idx="22" formatCode="0.0">
                  <c:v>0.19776970810082162</c:v>
                </c:pt>
                <c:pt idx="23" formatCode="0.0">
                  <c:v>0.18817793820303522</c:v>
                </c:pt>
                <c:pt idx="24" formatCode="0.0">
                  <c:v>0.1794612387331945</c:v>
                </c:pt>
                <c:pt idx="25" formatCode="0.0">
                  <c:v>0.17150661020840938</c:v>
                </c:pt>
                <c:pt idx="26" formatCode="0.0">
                  <c:v>0.16421946044802746</c:v>
                </c:pt>
                <c:pt idx="27" formatCode="0.0">
                  <c:v>0.15752005107406419</c:v>
                </c:pt>
                <c:pt idx="28" formatCode="0.0">
                  <c:v>0.15134072567629145</c:v>
                </c:pt>
                <c:pt idx="29" formatCode="0.0">
                  <c:v>0.14562372896702935</c:v>
                </c:pt>
                <c:pt idx="30" formatCode="0.0">
                  <c:v>0.14031947679977688</c:v>
                </c:pt>
                <c:pt idx="31" formatCode="0.0">
                  <c:v>0.13538517314226206</c:v>
                </c:pt>
                <c:pt idx="32" formatCode="0.0">
                  <c:v>0.13078369626592273</c:v>
                </c:pt>
                <c:pt idx="33" formatCode="0.0">
                  <c:v>0.12648269549156077</c:v>
                </c:pt>
                <c:pt idx="34" formatCode="0.0">
                  <c:v>0.12245385385822616</c:v>
                </c:pt>
                <c:pt idx="35" formatCode="0.0">
                  <c:v>0.11867228248386916</c:v>
                </c:pt>
                <c:pt idx="36" formatCode="0.0">
                  <c:v>0.11511602016280073</c:v>
                </c:pt>
                <c:pt idx="37" formatCode="0.0">
                  <c:v>0.11176561760532676</c:v>
                </c:pt>
                <c:pt idx="38" formatCode="0.0">
                  <c:v>0.10860379017511028</c:v>
                </c:pt>
                <c:pt idx="39" formatCode="0.0">
                  <c:v>0.10561512638408303</c:v>
                </c:pt>
                <c:pt idx="40" formatCode="0.0">
                  <c:v>0.10278584202728575</c:v>
                </c:pt>
              </c:numCache>
            </c:numRef>
          </c:xVal>
          <c:yVal>
            <c:numRef>
              <c:f>'E_1.2'!$A$45:$A$85</c:f>
              <c:numCache>
                <c:formatCode>General</c:formatCode>
                <c:ptCount val="41"/>
                <c:pt idx="0">
                  <c:v>1E-3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1</c:v>
                </c:pt>
                <c:pt idx="6">
                  <c:v>1.5</c:v>
                </c:pt>
                <c:pt idx="7">
                  <c:v>2</c:v>
                </c:pt>
                <c:pt idx="8">
                  <c:v>2.5</c:v>
                </c:pt>
                <c:pt idx="9">
                  <c:v>3</c:v>
                </c:pt>
                <c:pt idx="10">
                  <c:v>3.5</c:v>
                </c:pt>
                <c:pt idx="11">
                  <c:v>4</c:v>
                </c:pt>
                <c:pt idx="12">
                  <c:v>4.5</c:v>
                </c:pt>
                <c:pt idx="13">
                  <c:v>5</c:v>
                </c:pt>
                <c:pt idx="14">
                  <c:v>5.5</c:v>
                </c:pt>
                <c:pt idx="15">
                  <c:v>6</c:v>
                </c:pt>
                <c:pt idx="16">
                  <c:v>6.5</c:v>
                </c:pt>
                <c:pt idx="17">
                  <c:v>7</c:v>
                </c:pt>
                <c:pt idx="18">
                  <c:v>7.5</c:v>
                </c:pt>
                <c:pt idx="19">
                  <c:v>8</c:v>
                </c:pt>
                <c:pt idx="20">
                  <c:v>8.5</c:v>
                </c:pt>
                <c:pt idx="21">
                  <c:v>9</c:v>
                </c:pt>
                <c:pt idx="22">
                  <c:v>9.5</c:v>
                </c:pt>
                <c:pt idx="23">
                  <c:v>10</c:v>
                </c:pt>
                <c:pt idx="24">
                  <c:v>10.5</c:v>
                </c:pt>
                <c:pt idx="25">
                  <c:v>11</c:v>
                </c:pt>
                <c:pt idx="26">
                  <c:v>11.5</c:v>
                </c:pt>
                <c:pt idx="27">
                  <c:v>12</c:v>
                </c:pt>
                <c:pt idx="28">
                  <c:v>12.5</c:v>
                </c:pt>
                <c:pt idx="29">
                  <c:v>13</c:v>
                </c:pt>
                <c:pt idx="30">
                  <c:v>13.5</c:v>
                </c:pt>
                <c:pt idx="31">
                  <c:v>14</c:v>
                </c:pt>
                <c:pt idx="32">
                  <c:v>14.5</c:v>
                </c:pt>
                <c:pt idx="33">
                  <c:v>15</c:v>
                </c:pt>
                <c:pt idx="34">
                  <c:v>15.5</c:v>
                </c:pt>
                <c:pt idx="35">
                  <c:v>16</c:v>
                </c:pt>
                <c:pt idx="36">
                  <c:v>16.5</c:v>
                </c:pt>
                <c:pt idx="37">
                  <c:v>17</c:v>
                </c:pt>
                <c:pt idx="38">
                  <c:v>17.5</c:v>
                </c:pt>
                <c:pt idx="39">
                  <c:v>18</c:v>
                </c:pt>
                <c:pt idx="40">
                  <c:v>18.5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BCA-4F09-99D2-7BCAD87E1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5652143"/>
        <c:axId val="1055651311"/>
      </c:scatterChart>
      <c:valAx>
        <c:axId val="1055652143"/>
        <c:scaling>
          <c:orientation val="minMax"/>
          <c:max val="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055651311"/>
        <c:crosses val="autoZero"/>
        <c:crossBetween val="midCat"/>
        <c:majorUnit val="0.1"/>
      </c:valAx>
      <c:valAx>
        <c:axId val="1055651311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055652143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Iz - z(m)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'E_1.3'!$C$46:$C$100</c:f>
              <c:numCache>
                <c:formatCode>0.00</c:formatCode>
                <c:ptCount val="55"/>
                <c:pt idx="0">
                  <c:v>0.2</c:v>
                </c:pt>
                <c:pt idx="1">
                  <c:v>0.22962962962962963</c:v>
                </c:pt>
                <c:pt idx="2">
                  <c:v>0.25925925925925924</c:v>
                </c:pt>
                <c:pt idx="3">
                  <c:v>0.28888888888888892</c:v>
                </c:pt>
                <c:pt idx="4">
                  <c:v>0.31851851851851853</c:v>
                </c:pt>
                <c:pt idx="5">
                  <c:v>0.34814814814814815</c:v>
                </c:pt>
                <c:pt idx="6">
                  <c:v>0.37777777777777777</c:v>
                </c:pt>
                <c:pt idx="7">
                  <c:v>0.40740740740740744</c:v>
                </c:pt>
                <c:pt idx="8">
                  <c:v>0.43703703703703706</c:v>
                </c:pt>
                <c:pt idx="9">
                  <c:v>0.46666666666666662</c:v>
                </c:pt>
                <c:pt idx="10">
                  <c:v>0.49629629629629624</c:v>
                </c:pt>
                <c:pt idx="11">
                  <c:v>0.52592592592592591</c:v>
                </c:pt>
                <c:pt idx="12">
                  <c:v>0.55555555555555558</c:v>
                </c:pt>
                <c:pt idx="13">
                  <c:v>0.58518518518518514</c:v>
                </c:pt>
                <c:pt idx="14">
                  <c:v>0.59259259259259256</c:v>
                </c:pt>
                <c:pt idx="15">
                  <c:v>0.57777777777777772</c:v>
                </c:pt>
                <c:pt idx="16">
                  <c:v>0.56296296296296289</c:v>
                </c:pt>
                <c:pt idx="17">
                  <c:v>0.54814814814814805</c:v>
                </c:pt>
                <c:pt idx="18">
                  <c:v>0.53333333333333333</c:v>
                </c:pt>
                <c:pt idx="19">
                  <c:v>0.51851851851851838</c:v>
                </c:pt>
                <c:pt idx="20">
                  <c:v>0.50370370370370365</c:v>
                </c:pt>
                <c:pt idx="21">
                  <c:v>0.48888888888888882</c:v>
                </c:pt>
                <c:pt idx="22">
                  <c:v>0.47407407407407404</c:v>
                </c:pt>
                <c:pt idx="23">
                  <c:v>0.45925925925925914</c:v>
                </c:pt>
                <c:pt idx="24">
                  <c:v>0.44444444444444436</c:v>
                </c:pt>
                <c:pt idx="25">
                  <c:v>0.42962962962962953</c:v>
                </c:pt>
                <c:pt idx="26">
                  <c:v>0.41481481481481469</c:v>
                </c:pt>
                <c:pt idx="27">
                  <c:v>0.39999999999999991</c:v>
                </c:pt>
                <c:pt idx="28">
                  <c:v>0.38518518518518502</c:v>
                </c:pt>
                <c:pt idx="29">
                  <c:v>0.37037037037037029</c:v>
                </c:pt>
                <c:pt idx="30">
                  <c:v>0.3555555555555554</c:v>
                </c:pt>
                <c:pt idx="31">
                  <c:v>0.34074074074074057</c:v>
                </c:pt>
                <c:pt idx="32">
                  <c:v>0.32592592592592579</c:v>
                </c:pt>
                <c:pt idx="33">
                  <c:v>0.31111111111111089</c:v>
                </c:pt>
                <c:pt idx="34">
                  <c:v>0.29629629629629606</c:v>
                </c:pt>
                <c:pt idx="35">
                  <c:v>0.28148148148148128</c:v>
                </c:pt>
                <c:pt idx="36">
                  <c:v>0.26666666666666644</c:v>
                </c:pt>
                <c:pt idx="37">
                  <c:v>0.2518518518518516</c:v>
                </c:pt>
                <c:pt idx="38">
                  <c:v>0.23703703703703682</c:v>
                </c:pt>
                <c:pt idx="39">
                  <c:v>0.22222222222222202</c:v>
                </c:pt>
                <c:pt idx="40">
                  <c:v>0.20740740740740718</c:v>
                </c:pt>
                <c:pt idx="41">
                  <c:v>0.19259259259259245</c:v>
                </c:pt>
                <c:pt idx="42">
                  <c:v>0.1777777777777777</c:v>
                </c:pt>
                <c:pt idx="43">
                  <c:v>0.16296296296296295</c:v>
                </c:pt>
                <c:pt idx="44">
                  <c:v>0.1481481481481482</c:v>
                </c:pt>
                <c:pt idx="45">
                  <c:v>0.13333333333333344</c:v>
                </c:pt>
                <c:pt idx="46">
                  <c:v>0.11851851851851863</c:v>
                </c:pt>
                <c:pt idx="47">
                  <c:v>0.1037037037037039</c:v>
                </c:pt>
                <c:pt idx="48">
                  <c:v>8.8888888888889142E-2</c:v>
                </c:pt>
                <c:pt idx="49">
                  <c:v>7.4074074074074403E-2</c:v>
                </c:pt>
                <c:pt idx="50">
                  <c:v>5.925925925925965E-2</c:v>
                </c:pt>
                <c:pt idx="51">
                  <c:v>4.4444444444444842E-2</c:v>
                </c:pt>
                <c:pt idx="52">
                  <c:v>2.9629629629630092E-2</c:v>
                </c:pt>
                <c:pt idx="53">
                  <c:v>1.4814814814815346E-2</c:v>
                </c:pt>
                <c:pt idx="54">
                  <c:v>5.3290705182007512E-16</c:v>
                </c:pt>
              </c:numCache>
            </c:numRef>
          </c:xVal>
          <c:yVal>
            <c:numRef>
              <c:f>'E_1.3'!$A$46:$A$100</c:f>
              <c:numCache>
                <c:formatCode>General</c:formatCode>
                <c:ptCount val="55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  <c:pt idx="51">
                  <c:v>5.0999999999999979</c:v>
                </c:pt>
                <c:pt idx="52">
                  <c:v>5.1999999999999975</c:v>
                </c:pt>
                <c:pt idx="53">
                  <c:v>5.2999999999999972</c:v>
                </c:pt>
                <c:pt idx="54">
                  <c:v>5.3999999999999968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E5-AC41-B33E-6A53B828D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7839"/>
        <c:axId val="139217183"/>
      </c:scatterChart>
      <c:valAx>
        <c:axId val="19282783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39217183"/>
        <c:crosses val="autoZero"/>
        <c:crossBetween val="midCat"/>
      </c:valAx>
      <c:valAx>
        <c:axId val="139217183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928278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latin typeface="Symbol" pitchFamily="2" charset="2"/>
              </a:rPr>
              <a:t>Sd</a:t>
            </a:r>
            <a:r>
              <a:rPr lang="en-US">
                <a:latin typeface="Times" pitchFamily="2" charset="0"/>
              </a:rPr>
              <a:t>i</a:t>
            </a:r>
            <a:r>
              <a:rPr lang="en-US"/>
              <a:t> - z(m)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'E_1.3'!$E$46:$E$100</c:f>
              <c:numCache>
                <c:formatCode>0.00</c:formatCode>
                <c:ptCount val="55"/>
                <c:pt idx="0">
                  <c:v>9.5739130434782618E-2</c:v>
                </c:pt>
                <c:pt idx="1">
                  <c:v>0.20378281514513399</c:v>
                </c:pt>
                <c:pt idx="2">
                  <c:v>0.3237174556680098</c:v>
                </c:pt>
                <c:pt idx="3">
                  <c:v>0.45514996255506218</c:v>
                </c:pt>
                <c:pt idx="4">
                  <c:v>0.59770642145298447</c:v>
                </c:pt>
                <c:pt idx="5">
                  <c:v>0.75103086589742896</c:v>
                </c:pt>
                <c:pt idx="6">
                  <c:v>0.914784146737324</c:v>
                </c:pt>
                <c:pt idx="7">
                  <c:v>1.0886428892007176</c:v>
                </c:pt>
                <c:pt idx="8">
                  <c:v>1.2722985295739153</c:v>
                </c:pt>
                <c:pt idx="9">
                  <c:v>1.4654564243107573</c:v>
                </c:pt>
                <c:pt idx="10">
                  <c:v>1.6678350251338026</c:v>
                </c:pt>
                <c:pt idx="11">
                  <c:v>1.8791651143471035</c:v>
                </c:pt>
                <c:pt idx="12">
                  <c:v>2.0991890951624512</c:v>
                </c:pt>
                <c:pt idx="13">
                  <c:v>2.3276603323570928</c:v>
                </c:pt>
                <c:pt idx="14">
                  <c:v>2.5557877604845212</c:v>
                </c:pt>
                <c:pt idx="15">
                  <c:v>2.7751440823236018</c:v>
                </c:pt>
                <c:pt idx="16">
                  <c:v>2.9859679674332011</c:v>
                </c:pt>
                <c:pt idx="17">
                  <c:v>3.1884884745174666</c:v>
                </c:pt>
                <c:pt idx="18">
                  <c:v>3.382925560610182</c:v>
                </c:pt>
                <c:pt idx="19">
                  <c:v>3.5694905569790998</c:v>
                </c:pt>
                <c:pt idx="20">
                  <c:v>3.7483866143267699</c:v>
                </c:pt>
                <c:pt idx="21">
                  <c:v>3.9198091196346256</c:v>
                </c:pt>
                <c:pt idx="22">
                  <c:v>4.0839460867904611</c:v>
                </c:pt>
                <c:pt idx="23">
                  <c:v>4.2409785229533323</c:v>
                </c:pt>
                <c:pt idx="24">
                  <c:v>4.3910807724420851</c:v>
                </c:pt>
                <c:pt idx="25">
                  <c:v>4.5344208397821522</c:v>
                </c:pt>
                <c:pt idx="26">
                  <c:v>4.6711606934082335</c:v>
                </c:pt>
                <c:pt idx="27">
                  <c:v>4.8014565513963987</c:v>
                </c:pt>
                <c:pt idx="28">
                  <c:v>4.9254591504867173</c:v>
                </c:pt>
                <c:pt idx="29">
                  <c:v>5.0433139995554388</c:v>
                </c:pt>
                <c:pt idx="30">
                  <c:v>5.1551616186030582</c:v>
                </c:pt>
                <c:pt idx="31">
                  <c:v>5.2611377642402211</c:v>
                </c:pt>
                <c:pt idx="32">
                  <c:v>5.361373642576658</c:v>
                </c:pt>
                <c:pt idx="33">
                  <c:v>5.4559961103482966</c:v>
                </c:pt>
                <c:pt idx="34">
                  <c:v>5.5451278650538214</c:v>
                </c:pt>
                <c:pt idx="35">
                  <c:v>5.6288876248135811</c:v>
                </c:pt>
                <c:pt idx="36">
                  <c:v>5.7073902986103722</c:v>
                </c:pt>
                <c:pt idx="37">
                  <c:v>5.780747147522777</c:v>
                </c:pt>
                <c:pt idx="38">
                  <c:v>5.8490659375169596</c:v>
                </c:pt>
                <c:pt idx="39">
                  <c:v>5.9124510843217957</c:v>
                </c:pt>
                <c:pt idx="40">
                  <c:v>5.9710037908745024</c:v>
                </c:pt>
                <c:pt idx="41">
                  <c:v>6.0248221777893356</c:v>
                </c:pt>
                <c:pt idx="42">
                  <c:v>6.0740014072700728</c:v>
                </c:pt>
                <c:pt idx="43">
                  <c:v>6.1186338008576904</c:v>
                </c:pt>
                <c:pt idx="44">
                  <c:v>6.1588089513776687</c:v>
                </c:pt>
                <c:pt idx="45">
                  <c:v>6.1946138294264497</c:v>
                </c:pt>
                <c:pt idx="46">
                  <c:v>6.2261328847136213</c:v>
                </c:pt>
                <c:pt idx="47">
                  <c:v>6.2534481425551949</c:v>
                </c:pt>
                <c:pt idx="48">
                  <c:v>6.2766392957937418</c:v>
                </c:pt>
                <c:pt idx="49">
                  <c:v>6.2957837924030269</c:v>
                </c:pt>
                <c:pt idx="50">
                  <c:v>6.3109569190180137</c:v>
                </c:pt>
                <c:pt idx="51">
                  <c:v>6.322231880615556</c:v>
                </c:pt>
                <c:pt idx="52">
                  <c:v>6.3296798765567024</c:v>
                </c:pt>
                <c:pt idx="53">
                  <c:v>6.3333701731881753</c:v>
                </c:pt>
                <c:pt idx="54">
                  <c:v>6.3333701731881753</c:v>
                </c:pt>
              </c:numCache>
            </c:numRef>
          </c:xVal>
          <c:yVal>
            <c:numRef>
              <c:f>'E_1.3'!$A$46:$A$100</c:f>
              <c:numCache>
                <c:formatCode>General</c:formatCode>
                <c:ptCount val="55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  <c:pt idx="51">
                  <c:v>5.0999999999999979</c:v>
                </c:pt>
                <c:pt idx="52">
                  <c:v>5.1999999999999975</c:v>
                </c:pt>
                <c:pt idx="53">
                  <c:v>5.2999999999999972</c:v>
                </c:pt>
                <c:pt idx="54">
                  <c:v>5.3999999999999968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BB6-6040-8656-2FFEE1A1A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7839"/>
        <c:axId val="139217183"/>
      </c:scatterChart>
      <c:valAx>
        <c:axId val="19282783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39217183"/>
        <c:crosses val="autoZero"/>
        <c:crossBetween val="midCat"/>
      </c:valAx>
      <c:valAx>
        <c:axId val="139217183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928278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Iz - z(m)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'E_1.3'!$E$106:$E$160</c:f>
              <c:numCache>
                <c:formatCode>0.000</c:formatCode>
                <c:ptCount val="55"/>
                <c:pt idx="0" formatCode="General">
                  <c:v>0.99999999994919475</c:v>
                </c:pt>
                <c:pt idx="1">
                  <c:v>0.99996190548907038</c:v>
                </c:pt>
                <c:pt idx="2">
                  <c:v>0.99959083679381966</c:v>
                </c:pt>
                <c:pt idx="3">
                  <c:v>0.99863992801449464</c:v>
                </c:pt>
                <c:pt idx="4">
                  <c:v>0.99682949332700432</c:v>
                </c:pt>
                <c:pt idx="5">
                  <c:v>0.99392746984599867</c:v>
                </c:pt>
                <c:pt idx="6">
                  <c:v>0.98974279585448111</c:v>
                </c:pt>
                <c:pt idx="7">
                  <c:v>0.98413034961300438</c:v>
                </c:pt>
                <c:pt idx="8">
                  <c:v>0.97699319773144833</c:v>
                </c:pt>
                <c:pt idx="9">
                  <c:v>0.96828227601451489</c:v>
                </c:pt>
                <c:pt idx="10">
                  <c:v>0.95799381760952129</c:v>
                </c:pt>
                <c:pt idx="11">
                  <c:v>0.94616497673217448</c:v>
                </c:pt>
                <c:pt idx="12">
                  <c:v>0.9328681653581764</c:v>
                </c:pt>
                <c:pt idx="13">
                  <c:v>0.91820462910095524</c:v>
                </c:pt>
                <c:pt idx="14">
                  <c:v>0.90229774825751152</c:v>
                </c:pt>
                <c:pt idx="15">
                  <c:v>0.8852864756753156</c:v>
                </c:pt>
                <c:pt idx="16">
                  <c:v>0.86731923026386104</c:v>
                </c:pt>
                <c:pt idx="17">
                  <c:v>0.84854846745573798</c:v>
                </c:pt>
                <c:pt idx="18">
                  <c:v>0.82912605634119452</c:v>
                </c:pt>
                <c:pt idx="19">
                  <c:v>0.80919951452396743</c:v>
                </c:pt>
                <c:pt idx="20">
                  <c:v>0.78890908950795069</c:v>
                </c:pt>
                <c:pt idx="21">
                  <c:v>0.76838563037399887</c:v>
                </c:pt>
                <c:pt idx="22">
                  <c:v>0.74774916442851069</c:v>
                </c:pt>
                <c:pt idx="23">
                  <c:v>0.72710807801639388</c:v>
                </c:pt>
                <c:pt idx="24">
                  <c:v>0.70655879590118187</c:v>
                </c:pt>
                <c:pt idx="25">
                  <c:v>0.68618585661420495</c:v>
                </c:pt>
                <c:pt idx="26">
                  <c:v>0.66606228933927969</c:v>
                </c:pt>
                <c:pt idx="27">
                  <c:v>0.64625020905115393</c:v>
                </c:pt>
                <c:pt idx="28">
                  <c:v>0.62680155908070145</c:v>
                </c:pt>
                <c:pt idx="29">
                  <c:v>0.60775894282393139</c:v>
                </c:pt>
                <c:pt idx="30">
                  <c:v>0.58915649813884041</c:v>
                </c:pt>
                <c:pt idx="31">
                  <c:v>0.5710207786051944</c:v>
                </c:pt>
                <c:pt idx="32">
                  <c:v>0.55337161502580035</c:v>
                </c:pt>
                <c:pt idx="33">
                  <c:v>0.53622293826708889</c:v>
                </c:pt>
                <c:pt idx="34">
                  <c:v>0.51958355083045848</c:v>
                </c:pt>
                <c:pt idx="35">
                  <c:v>0.50345783954106071</c:v>
                </c:pt>
                <c:pt idx="36">
                  <c:v>0.48784642559933489</c:v>
                </c:pt>
                <c:pt idx="37">
                  <c:v>0.47274675113518994</c:v>
                </c:pt>
                <c:pt idx="38">
                  <c:v>0.45815360350327872</c:v>
                </c:pt>
                <c:pt idx="39">
                  <c:v>0.44405958001460066</c:v>
                </c:pt>
                <c:pt idx="40">
                  <c:v>0.43045549675068828</c:v>
                </c:pt>
                <c:pt idx="41">
                  <c:v>0.41733074566793871</c:v>
                </c:pt>
                <c:pt idx="42">
                  <c:v>0.40467360446783274</c:v>
                </c:pt>
                <c:pt idx="43">
                  <c:v>0.3924715037623473</c:v>
                </c:pt>
                <c:pt idx="44">
                  <c:v>0.38071125596546296</c:v>
                </c:pt>
                <c:pt idx="45">
                  <c:v>0.36937925014026995</c:v>
                </c:pt>
                <c:pt idx="46">
                  <c:v>0.35846161676436317</c:v>
                </c:pt>
                <c:pt idx="47">
                  <c:v>0.34794436607227475</c:v>
                </c:pt>
                <c:pt idx="48">
                  <c:v>0.33781350331341709</c:v>
                </c:pt>
                <c:pt idx="49">
                  <c:v>0.32805512394229397</c:v>
                </c:pt>
                <c:pt idx="50">
                  <c:v>0.31865549144488359</c:v>
                </c:pt>
                <c:pt idx="51">
                  <c:v>0.30960110020794407</c:v>
                </c:pt>
                <c:pt idx="52">
                  <c:v>0.30087872556067041</c:v>
                </c:pt>
                <c:pt idx="53">
                  <c:v>0.29247546286292292</c:v>
                </c:pt>
                <c:pt idx="54">
                  <c:v>0.28437875728194972</c:v>
                </c:pt>
              </c:numCache>
            </c:numRef>
          </c:xVal>
          <c:yVal>
            <c:numRef>
              <c:f>'E_1.3'!$A$106:$A$160</c:f>
              <c:numCache>
                <c:formatCode>0.0</c:formatCode>
                <c:ptCount val="55"/>
                <c:pt idx="0" formatCode="0.000">
                  <c:v>1E-3</c:v>
                </c:pt>
                <c:pt idx="1">
                  <c:v>0.10100000000000001</c:v>
                </c:pt>
                <c:pt idx="2">
                  <c:v>0.20100000000000001</c:v>
                </c:pt>
                <c:pt idx="3">
                  <c:v>0.30100000000000005</c:v>
                </c:pt>
                <c:pt idx="4">
                  <c:v>0.40100000000000002</c:v>
                </c:pt>
                <c:pt idx="5">
                  <c:v>0.501</c:v>
                </c:pt>
                <c:pt idx="6">
                  <c:v>0.60099999999999998</c:v>
                </c:pt>
                <c:pt idx="7">
                  <c:v>0.70099999999999996</c:v>
                </c:pt>
                <c:pt idx="8">
                  <c:v>0.80099999999999993</c:v>
                </c:pt>
                <c:pt idx="9">
                  <c:v>0.90099999999999991</c:v>
                </c:pt>
                <c:pt idx="10">
                  <c:v>1.0009999999999999</c:v>
                </c:pt>
                <c:pt idx="11">
                  <c:v>1.101</c:v>
                </c:pt>
                <c:pt idx="12">
                  <c:v>1.2010000000000001</c:v>
                </c:pt>
                <c:pt idx="13">
                  <c:v>1.3010000000000002</c:v>
                </c:pt>
                <c:pt idx="14">
                  <c:v>1.4010000000000002</c:v>
                </c:pt>
                <c:pt idx="15">
                  <c:v>1.5010000000000003</c:v>
                </c:pt>
                <c:pt idx="16">
                  <c:v>1.6010000000000004</c:v>
                </c:pt>
                <c:pt idx="17">
                  <c:v>1.7010000000000005</c:v>
                </c:pt>
                <c:pt idx="18">
                  <c:v>1.8010000000000006</c:v>
                </c:pt>
                <c:pt idx="19">
                  <c:v>1.9010000000000007</c:v>
                </c:pt>
                <c:pt idx="20">
                  <c:v>2.0010000000000008</c:v>
                </c:pt>
                <c:pt idx="21">
                  <c:v>2.1010000000000009</c:v>
                </c:pt>
                <c:pt idx="22">
                  <c:v>2.201000000000001</c:v>
                </c:pt>
                <c:pt idx="23">
                  <c:v>2.301000000000001</c:v>
                </c:pt>
                <c:pt idx="24">
                  <c:v>2.4010000000000011</c:v>
                </c:pt>
                <c:pt idx="25">
                  <c:v>2.5010000000000012</c:v>
                </c:pt>
                <c:pt idx="26">
                  <c:v>2.6010000000000013</c:v>
                </c:pt>
                <c:pt idx="27">
                  <c:v>2.7010000000000014</c:v>
                </c:pt>
                <c:pt idx="28">
                  <c:v>2.8010000000000015</c:v>
                </c:pt>
                <c:pt idx="29">
                  <c:v>2.9010000000000016</c:v>
                </c:pt>
                <c:pt idx="30">
                  <c:v>3.0010000000000017</c:v>
                </c:pt>
                <c:pt idx="31">
                  <c:v>3.1010000000000018</c:v>
                </c:pt>
                <c:pt idx="32">
                  <c:v>3.2010000000000018</c:v>
                </c:pt>
                <c:pt idx="33">
                  <c:v>3.3010000000000019</c:v>
                </c:pt>
                <c:pt idx="34">
                  <c:v>3.401000000000002</c:v>
                </c:pt>
                <c:pt idx="35">
                  <c:v>3.5010000000000021</c:v>
                </c:pt>
                <c:pt idx="36">
                  <c:v>3.6010000000000022</c:v>
                </c:pt>
                <c:pt idx="37">
                  <c:v>3.7010000000000023</c:v>
                </c:pt>
                <c:pt idx="38">
                  <c:v>3.8010000000000024</c:v>
                </c:pt>
                <c:pt idx="39">
                  <c:v>3.9010000000000025</c:v>
                </c:pt>
                <c:pt idx="40">
                  <c:v>4.0010000000000021</c:v>
                </c:pt>
                <c:pt idx="41">
                  <c:v>4.1010000000000018</c:v>
                </c:pt>
                <c:pt idx="42">
                  <c:v>4.2010000000000014</c:v>
                </c:pt>
                <c:pt idx="43">
                  <c:v>4.301000000000001</c:v>
                </c:pt>
                <c:pt idx="44">
                  <c:v>4.4010000000000007</c:v>
                </c:pt>
                <c:pt idx="45">
                  <c:v>4.5010000000000003</c:v>
                </c:pt>
                <c:pt idx="46">
                  <c:v>4.601</c:v>
                </c:pt>
                <c:pt idx="47">
                  <c:v>4.7009999999999996</c:v>
                </c:pt>
                <c:pt idx="48">
                  <c:v>4.8009999999999993</c:v>
                </c:pt>
                <c:pt idx="49">
                  <c:v>4.9009999999999989</c:v>
                </c:pt>
                <c:pt idx="50">
                  <c:v>5.0009999999999986</c:v>
                </c:pt>
                <c:pt idx="51">
                  <c:v>5.1009999999999982</c:v>
                </c:pt>
                <c:pt idx="52">
                  <c:v>5.2009999999999978</c:v>
                </c:pt>
                <c:pt idx="53">
                  <c:v>5.3009999999999975</c:v>
                </c:pt>
                <c:pt idx="54">
                  <c:v>5.4009999999999971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E82-AE49-87D2-B22796179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7839"/>
        <c:axId val="139217183"/>
      </c:scatterChart>
      <c:valAx>
        <c:axId val="19282783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39217183"/>
        <c:crosses val="autoZero"/>
        <c:crossBetween val="midCat"/>
      </c:valAx>
      <c:valAx>
        <c:axId val="139217183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928278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latin typeface="Symbol" pitchFamily="2" charset="2"/>
              </a:rPr>
              <a:t>Sd</a:t>
            </a:r>
            <a:r>
              <a:rPr lang="en-US">
                <a:latin typeface="Times" pitchFamily="2" charset="0"/>
              </a:rPr>
              <a:t>i</a:t>
            </a:r>
            <a:r>
              <a:rPr lang="en-US"/>
              <a:t> - z(m)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'E_1.3'!$H$106:$H$160</c:f>
              <c:numCache>
                <c:formatCode>0.00</c:formatCode>
                <c:ptCount val="55"/>
                <c:pt idx="0">
                  <c:v>0.38751024664548872</c:v>
                </c:pt>
                <c:pt idx="1">
                  <c:v>0.76838300894813538</c:v>
                </c:pt>
                <c:pt idx="2">
                  <c:v>1.1427166636516328</c:v>
                </c:pt>
                <c:pt idx="3">
                  <c:v>1.5105137899123717</c:v>
                </c:pt>
                <c:pt idx="4">
                  <c:v>1.8716755080046974</c:v>
                </c:pt>
                <c:pt idx="5">
                  <c:v>2.2260249499133655</c:v>
                </c:pt>
                <c:pt idx="6">
                  <c:v>2.5733265585538474</c:v>
                </c:pt>
                <c:pt idx="7">
                  <c:v>2.9133055973288515</c:v>
                </c:pt>
                <c:pt idx="8">
                  <c:v>3.2456669355020988</c:v>
                </c:pt>
                <c:pt idx="9">
                  <c:v>3.5701123144102422</c:v>
                </c:pt>
                <c:pt idx="10">
                  <c:v>3.8863554858918965</c:v>
                </c:pt>
                <c:pt idx="11">
                  <c:v>4.1941348223187358</c:v>
                </c:pt>
                <c:pt idx="12">
                  <c:v>4.493223203838097</c:v>
                </c:pt>
                <c:pt idx="13">
                  <c:v>4.7834351740545786</c:v>
                </c:pt>
                <c:pt idx="14">
                  <c:v>5.064631507690577</c:v>
                </c:pt>
                <c:pt idx="15">
                  <c:v>5.3367214464287791</c:v>
                </c:pt>
                <c:pt idx="16">
                  <c:v>5.5996629313990693</c:v>
                </c:pt>
                <c:pt idx="17">
                  <c:v>5.8534611961058109</c:v>
                </c:pt>
                <c:pt idx="18">
                  <c:v>6.0981660881527038</c:v>
                </c:pt>
                <c:pt idx="19">
                  <c:v>6.3338684692900697</c:v>
                </c:pt>
                <c:pt idx="20">
                  <c:v>6.5606960085260031</c:v>
                </c:pt>
                <c:pt idx="21">
                  <c:v>6.7788086390159199</c:v>
                </c:pt>
                <c:pt idx="22">
                  <c:v>6.9883939016977887</c:v>
                </c:pt>
                <c:pt idx="23">
                  <c:v>7.1896623513501074</c:v>
                </c:pt>
                <c:pt idx="24">
                  <c:v>7.3828431567913055</c:v>
                </c:pt>
                <c:pt idx="25">
                  <c:v>7.5681799880529983</c:v>
                </c:pt>
                <c:pt idx="26">
                  <c:v>7.745927250377318</c:v>
                </c:pt>
                <c:pt idx="27">
                  <c:v>7.9163466979692849</c:v>
                </c:pt>
                <c:pt idx="28">
                  <c:v>8.0797044392803929</c:v>
                </c:pt>
                <c:pt idx="29">
                  <c:v>8.2362683296325123</c:v>
                </c:pt>
                <c:pt idx="30">
                  <c:v>8.3863057354957746</c:v>
                </c:pt>
                <c:pt idx="31">
                  <c:v>8.5300816469543843</c:v>
                </c:pt>
                <c:pt idx="32">
                  <c:v>8.6678571101013979</c:v>
                </c:pt>
                <c:pt idx="33">
                  <c:v>8.7998879486348915</c:v>
                </c:pt>
                <c:pt idx="34">
                  <c:v>8.9264237432077742</c:v>
                </c:pt>
                <c:pt idx="35">
                  <c:v>9.0477070376290811</c:v>
                </c:pt>
                <c:pt idx="36">
                  <c:v>9.1639727424329926</c:v>
                </c:pt>
                <c:pt idx="37">
                  <c:v>9.2754477083127789</c:v>
                </c:pt>
                <c:pt idx="38">
                  <c:v>9.382350444221526</c:v>
                </c:pt>
                <c:pt idx="39">
                  <c:v>9.4848909573915563</c:v>
                </c:pt>
                <c:pt idx="40">
                  <c:v>9.5832706949907873</c:v>
                </c:pt>
                <c:pt idx="41">
                  <c:v>9.6776825695273807</c:v>
                </c:pt>
                <c:pt idx="42">
                  <c:v>9.7683110523747363</c:v>
                </c:pt>
                <c:pt idx="43">
                  <c:v>9.8553323218815745</c:v>
                </c:pt>
                <c:pt idx="44">
                  <c:v>9.9389144544379899</c:v>
                </c:pt>
                <c:pt idx="45">
                  <c:v>10.01921764858195</c:v>
                </c:pt>
                <c:pt idx="46">
                  <c:v>10.096394473754453</c:v>
                </c:pt>
                <c:pt idx="47">
                  <c:v>10.170590136653798</c:v>
                </c:pt>
                <c:pt idx="48">
                  <c:v>10.241942759312305</c:v>
                </c:pt>
                <c:pt idx="49">
                  <c:v>10.310583664036205</c:v>
                </c:pt>
                <c:pt idx="50">
                  <c:v>10.376637661226368</c:v>
                </c:pt>
                <c:pt idx="51">
                  <c:v>10.44022333684868</c:v>
                </c:pt>
                <c:pt idx="52">
                  <c:v>10.501453336962779</c:v>
                </c:pt>
                <c:pt idx="53">
                  <c:v>10.560434647259994</c:v>
                </c:pt>
                <c:pt idx="54">
                  <c:v>10.61726886601806</c:v>
                </c:pt>
              </c:numCache>
            </c:numRef>
          </c:xVal>
          <c:yVal>
            <c:numRef>
              <c:f>'E_1.3'!$A$106:$A$160</c:f>
              <c:numCache>
                <c:formatCode>0.0</c:formatCode>
                <c:ptCount val="55"/>
                <c:pt idx="0" formatCode="0.000">
                  <c:v>1E-3</c:v>
                </c:pt>
                <c:pt idx="1">
                  <c:v>0.10100000000000001</c:v>
                </c:pt>
                <c:pt idx="2">
                  <c:v>0.20100000000000001</c:v>
                </c:pt>
                <c:pt idx="3">
                  <c:v>0.30100000000000005</c:v>
                </c:pt>
                <c:pt idx="4">
                  <c:v>0.40100000000000002</c:v>
                </c:pt>
                <c:pt idx="5">
                  <c:v>0.501</c:v>
                </c:pt>
                <c:pt idx="6">
                  <c:v>0.60099999999999998</c:v>
                </c:pt>
                <c:pt idx="7">
                  <c:v>0.70099999999999996</c:v>
                </c:pt>
                <c:pt idx="8">
                  <c:v>0.80099999999999993</c:v>
                </c:pt>
                <c:pt idx="9">
                  <c:v>0.90099999999999991</c:v>
                </c:pt>
                <c:pt idx="10">
                  <c:v>1.0009999999999999</c:v>
                </c:pt>
                <c:pt idx="11">
                  <c:v>1.101</c:v>
                </c:pt>
                <c:pt idx="12">
                  <c:v>1.2010000000000001</c:v>
                </c:pt>
                <c:pt idx="13">
                  <c:v>1.3010000000000002</c:v>
                </c:pt>
                <c:pt idx="14">
                  <c:v>1.4010000000000002</c:v>
                </c:pt>
                <c:pt idx="15">
                  <c:v>1.5010000000000003</c:v>
                </c:pt>
                <c:pt idx="16">
                  <c:v>1.6010000000000004</c:v>
                </c:pt>
                <c:pt idx="17">
                  <c:v>1.7010000000000005</c:v>
                </c:pt>
                <c:pt idx="18">
                  <c:v>1.8010000000000006</c:v>
                </c:pt>
                <c:pt idx="19">
                  <c:v>1.9010000000000007</c:v>
                </c:pt>
                <c:pt idx="20">
                  <c:v>2.0010000000000008</c:v>
                </c:pt>
                <c:pt idx="21">
                  <c:v>2.1010000000000009</c:v>
                </c:pt>
                <c:pt idx="22">
                  <c:v>2.201000000000001</c:v>
                </c:pt>
                <c:pt idx="23">
                  <c:v>2.301000000000001</c:v>
                </c:pt>
                <c:pt idx="24">
                  <c:v>2.4010000000000011</c:v>
                </c:pt>
                <c:pt idx="25">
                  <c:v>2.5010000000000012</c:v>
                </c:pt>
                <c:pt idx="26">
                  <c:v>2.6010000000000013</c:v>
                </c:pt>
                <c:pt idx="27">
                  <c:v>2.7010000000000014</c:v>
                </c:pt>
                <c:pt idx="28">
                  <c:v>2.8010000000000015</c:v>
                </c:pt>
                <c:pt idx="29">
                  <c:v>2.9010000000000016</c:v>
                </c:pt>
                <c:pt idx="30">
                  <c:v>3.0010000000000017</c:v>
                </c:pt>
                <c:pt idx="31">
                  <c:v>3.1010000000000018</c:v>
                </c:pt>
                <c:pt idx="32">
                  <c:v>3.2010000000000018</c:v>
                </c:pt>
                <c:pt idx="33">
                  <c:v>3.3010000000000019</c:v>
                </c:pt>
                <c:pt idx="34">
                  <c:v>3.401000000000002</c:v>
                </c:pt>
                <c:pt idx="35">
                  <c:v>3.5010000000000021</c:v>
                </c:pt>
                <c:pt idx="36">
                  <c:v>3.6010000000000022</c:v>
                </c:pt>
                <c:pt idx="37">
                  <c:v>3.7010000000000023</c:v>
                </c:pt>
                <c:pt idx="38">
                  <c:v>3.8010000000000024</c:v>
                </c:pt>
                <c:pt idx="39">
                  <c:v>3.9010000000000025</c:v>
                </c:pt>
                <c:pt idx="40">
                  <c:v>4.0010000000000021</c:v>
                </c:pt>
                <c:pt idx="41">
                  <c:v>4.1010000000000018</c:v>
                </c:pt>
                <c:pt idx="42">
                  <c:v>4.2010000000000014</c:v>
                </c:pt>
                <c:pt idx="43">
                  <c:v>4.301000000000001</c:v>
                </c:pt>
                <c:pt idx="44">
                  <c:v>4.4010000000000007</c:v>
                </c:pt>
                <c:pt idx="45">
                  <c:v>4.5010000000000003</c:v>
                </c:pt>
                <c:pt idx="46">
                  <c:v>4.601</c:v>
                </c:pt>
                <c:pt idx="47">
                  <c:v>4.7009999999999996</c:v>
                </c:pt>
                <c:pt idx="48">
                  <c:v>4.8009999999999993</c:v>
                </c:pt>
                <c:pt idx="49">
                  <c:v>4.9009999999999989</c:v>
                </c:pt>
                <c:pt idx="50">
                  <c:v>5.0009999999999986</c:v>
                </c:pt>
                <c:pt idx="51">
                  <c:v>5.1009999999999982</c:v>
                </c:pt>
                <c:pt idx="52">
                  <c:v>5.2009999999999978</c:v>
                </c:pt>
                <c:pt idx="53">
                  <c:v>5.3009999999999975</c:v>
                </c:pt>
                <c:pt idx="54">
                  <c:v>5.4009999999999971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F03-2842-86F3-1DB729B8C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7839"/>
        <c:axId val="139217183"/>
      </c:scatterChart>
      <c:valAx>
        <c:axId val="19282783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39217183"/>
        <c:crosses val="autoZero"/>
        <c:crossBetween val="midCat"/>
      </c:valAx>
      <c:valAx>
        <c:axId val="139217183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928278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446503414821842"/>
          <c:y val="0.110900268900211"/>
          <c:w val="0.67101489604375364"/>
          <c:h val="0.85779858859554325"/>
        </c:manualLayout>
      </c:layout>
      <c:scatterChart>
        <c:scatterStyle val="lineMarker"/>
        <c:varyColors val="0"/>
        <c:ser>
          <c:idx val="0"/>
          <c:order val="0"/>
          <c:tx>
            <c:v>Mean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'ej 5.2'!$B$9:$B$341</c:f>
              <c:numCache>
                <c:formatCode>0.00</c:formatCode>
                <c:ptCount val="333"/>
                <c:pt idx="0">
                  <c:v>4.8999999999999998E-3</c:v>
                </c:pt>
                <c:pt idx="1">
                  <c:v>3.3999999999999998E-3</c:v>
                </c:pt>
                <c:pt idx="2">
                  <c:v>0.50029999999999997</c:v>
                </c:pt>
                <c:pt idx="3">
                  <c:v>1.1500999999999999</c:v>
                </c:pt>
                <c:pt idx="4">
                  <c:v>1.6612</c:v>
                </c:pt>
                <c:pt idx="5">
                  <c:v>2.6206</c:v>
                </c:pt>
                <c:pt idx="6">
                  <c:v>3.6214</c:v>
                </c:pt>
                <c:pt idx="7">
                  <c:v>4.3510999999999997</c:v>
                </c:pt>
                <c:pt idx="8">
                  <c:v>4.2465999999999999</c:v>
                </c:pt>
                <c:pt idx="9">
                  <c:v>4.1035000000000004</c:v>
                </c:pt>
                <c:pt idx="10">
                  <c:v>4.4679000000000002</c:v>
                </c:pt>
                <c:pt idx="11">
                  <c:v>5.0552999999999999</c:v>
                </c:pt>
                <c:pt idx="12">
                  <c:v>5.5732999999999997</c:v>
                </c:pt>
                <c:pt idx="13">
                  <c:v>4.0122999999999998</c:v>
                </c:pt>
                <c:pt idx="14">
                  <c:v>3.1234999999999999</c:v>
                </c:pt>
                <c:pt idx="15">
                  <c:v>2.2734999999999999</c:v>
                </c:pt>
                <c:pt idx="16">
                  <c:v>1.9133</c:v>
                </c:pt>
                <c:pt idx="17">
                  <c:v>1.7563</c:v>
                </c:pt>
                <c:pt idx="18">
                  <c:v>1.6739999999999999</c:v>
                </c:pt>
                <c:pt idx="19">
                  <c:v>1.589</c:v>
                </c:pt>
                <c:pt idx="20">
                  <c:v>1.5121</c:v>
                </c:pt>
                <c:pt idx="21">
                  <c:v>1.4787999999999999</c:v>
                </c:pt>
                <c:pt idx="22">
                  <c:v>1.4741</c:v>
                </c:pt>
                <c:pt idx="23">
                  <c:v>1.4725999999999999</c:v>
                </c:pt>
                <c:pt idx="24">
                  <c:v>1.4755</c:v>
                </c:pt>
                <c:pt idx="25">
                  <c:v>1.4729000000000001</c:v>
                </c:pt>
                <c:pt idx="26">
                  <c:v>1.4779</c:v>
                </c:pt>
                <c:pt idx="27">
                  <c:v>1.4710000000000001</c:v>
                </c:pt>
                <c:pt idx="28">
                  <c:v>1.4224000000000001</c:v>
                </c:pt>
                <c:pt idx="29">
                  <c:v>1.4219999999999999</c:v>
                </c:pt>
                <c:pt idx="30">
                  <c:v>1.4259999999999999</c:v>
                </c:pt>
                <c:pt idx="31">
                  <c:v>1.4255</c:v>
                </c:pt>
                <c:pt idx="32">
                  <c:v>1.4239999999999999</c:v>
                </c:pt>
                <c:pt idx="33">
                  <c:v>1.371</c:v>
                </c:pt>
                <c:pt idx="34">
                  <c:v>1.3729</c:v>
                </c:pt>
                <c:pt idx="35">
                  <c:v>1.3713</c:v>
                </c:pt>
                <c:pt idx="36">
                  <c:v>1.4225000000000001</c:v>
                </c:pt>
                <c:pt idx="37">
                  <c:v>1.4474</c:v>
                </c:pt>
                <c:pt idx="38">
                  <c:v>1.5074000000000001</c:v>
                </c:pt>
                <c:pt idx="39">
                  <c:v>1.5104</c:v>
                </c:pt>
                <c:pt idx="40">
                  <c:v>1.5088999999999999</c:v>
                </c:pt>
                <c:pt idx="41">
                  <c:v>1.4678</c:v>
                </c:pt>
                <c:pt idx="42">
                  <c:v>1.5421</c:v>
                </c:pt>
                <c:pt idx="43">
                  <c:v>1.6536999999999999</c:v>
                </c:pt>
                <c:pt idx="44">
                  <c:v>1.7444</c:v>
                </c:pt>
                <c:pt idx="45">
                  <c:v>1.8440000000000001</c:v>
                </c:pt>
                <c:pt idx="46">
                  <c:v>1.7338</c:v>
                </c:pt>
                <c:pt idx="47">
                  <c:v>1.6796</c:v>
                </c:pt>
                <c:pt idx="48">
                  <c:v>1.6474</c:v>
                </c:pt>
                <c:pt idx="49">
                  <c:v>1.5965</c:v>
                </c:pt>
                <c:pt idx="50">
                  <c:v>1.7004999999999999</c:v>
                </c:pt>
                <c:pt idx="51">
                  <c:v>1.7966</c:v>
                </c:pt>
                <c:pt idx="52">
                  <c:v>1.8467</c:v>
                </c:pt>
                <c:pt idx="53">
                  <c:v>1.8541000000000001</c:v>
                </c:pt>
                <c:pt idx="54">
                  <c:v>1.8724000000000001</c:v>
                </c:pt>
                <c:pt idx="55">
                  <c:v>2.0246</c:v>
                </c:pt>
                <c:pt idx="56">
                  <c:v>2.1669</c:v>
                </c:pt>
                <c:pt idx="57">
                  <c:v>2.3311999999999999</c:v>
                </c:pt>
                <c:pt idx="58">
                  <c:v>2.1804000000000001</c:v>
                </c:pt>
                <c:pt idx="59">
                  <c:v>2.1153</c:v>
                </c:pt>
                <c:pt idx="60">
                  <c:v>2.1126999999999998</c:v>
                </c:pt>
                <c:pt idx="61">
                  <c:v>2.165</c:v>
                </c:pt>
                <c:pt idx="62">
                  <c:v>2.1920000000000002</c:v>
                </c:pt>
                <c:pt idx="63">
                  <c:v>2.2475999999999998</c:v>
                </c:pt>
                <c:pt idx="64">
                  <c:v>2.2471999999999999</c:v>
                </c:pt>
                <c:pt idx="65">
                  <c:v>2.2490000000000001</c:v>
                </c:pt>
                <c:pt idx="66">
                  <c:v>2.2486999999999999</c:v>
                </c:pt>
                <c:pt idx="67">
                  <c:v>2.2494000000000001</c:v>
                </c:pt>
                <c:pt idx="68">
                  <c:v>2.2534000000000001</c:v>
                </c:pt>
                <c:pt idx="69">
                  <c:v>2.2551000000000001</c:v>
                </c:pt>
                <c:pt idx="70">
                  <c:v>2.2504</c:v>
                </c:pt>
                <c:pt idx="71">
                  <c:v>2.2456</c:v>
                </c:pt>
                <c:pt idx="72">
                  <c:v>2.1937000000000002</c:v>
                </c:pt>
                <c:pt idx="73">
                  <c:v>2.1909999999999998</c:v>
                </c:pt>
                <c:pt idx="74">
                  <c:v>2.1412</c:v>
                </c:pt>
                <c:pt idx="75">
                  <c:v>2.1463000000000001</c:v>
                </c:pt>
                <c:pt idx="76">
                  <c:v>2.2183999999999999</c:v>
                </c:pt>
                <c:pt idx="77">
                  <c:v>2.2608999999999999</c:v>
                </c:pt>
                <c:pt idx="78">
                  <c:v>2.2254</c:v>
                </c:pt>
                <c:pt idx="79">
                  <c:v>2.2019000000000002</c:v>
                </c:pt>
                <c:pt idx="80">
                  <c:v>2.2134999999999998</c:v>
                </c:pt>
                <c:pt idx="81">
                  <c:v>2.1539000000000001</c:v>
                </c:pt>
                <c:pt idx="82">
                  <c:v>2.1613000000000002</c:v>
                </c:pt>
                <c:pt idx="83">
                  <c:v>2.2399</c:v>
                </c:pt>
                <c:pt idx="84">
                  <c:v>2.3087</c:v>
                </c:pt>
                <c:pt idx="85">
                  <c:v>2.3542999999999998</c:v>
                </c:pt>
                <c:pt idx="86">
                  <c:v>2.4121999999999999</c:v>
                </c:pt>
                <c:pt idx="87">
                  <c:v>2.4634</c:v>
                </c:pt>
                <c:pt idx="88">
                  <c:v>2.3477999999999999</c:v>
                </c:pt>
                <c:pt idx="89">
                  <c:v>2.2892000000000001</c:v>
                </c:pt>
                <c:pt idx="90">
                  <c:v>2.1976</c:v>
                </c:pt>
                <c:pt idx="91">
                  <c:v>2.0819000000000001</c:v>
                </c:pt>
                <c:pt idx="92">
                  <c:v>1.9201999999999999</c:v>
                </c:pt>
                <c:pt idx="93">
                  <c:v>2.0253000000000001</c:v>
                </c:pt>
                <c:pt idx="94">
                  <c:v>2.1324999999999998</c:v>
                </c:pt>
                <c:pt idx="95">
                  <c:v>2.1869000000000001</c:v>
                </c:pt>
                <c:pt idx="96">
                  <c:v>2.1107999999999998</c:v>
                </c:pt>
                <c:pt idx="97">
                  <c:v>2.0413000000000001</c:v>
                </c:pt>
                <c:pt idx="98">
                  <c:v>2.0375000000000001</c:v>
                </c:pt>
                <c:pt idx="99">
                  <c:v>2.0394000000000001</c:v>
                </c:pt>
                <c:pt idx="100">
                  <c:v>2.3837000000000002</c:v>
                </c:pt>
                <c:pt idx="101">
                  <c:v>2.7576999999999998</c:v>
                </c:pt>
                <c:pt idx="102">
                  <c:v>3.1735000000000002</c:v>
                </c:pt>
                <c:pt idx="103">
                  <c:v>2.7612999999999999</c:v>
                </c:pt>
                <c:pt idx="104">
                  <c:v>2.38</c:v>
                </c:pt>
                <c:pt idx="105">
                  <c:v>1.8976</c:v>
                </c:pt>
                <c:pt idx="106">
                  <c:v>2.5415999999999999</c:v>
                </c:pt>
                <c:pt idx="107">
                  <c:v>3.2583000000000002</c:v>
                </c:pt>
                <c:pt idx="108">
                  <c:v>2.5806</c:v>
                </c:pt>
                <c:pt idx="109">
                  <c:v>1.7709999999999999</c:v>
                </c:pt>
                <c:pt idx="110">
                  <c:v>2.0703</c:v>
                </c:pt>
                <c:pt idx="111">
                  <c:v>2.363</c:v>
                </c:pt>
                <c:pt idx="112">
                  <c:v>2.7502</c:v>
                </c:pt>
                <c:pt idx="113">
                  <c:v>2.6917</c:v>
                </c:pt>
                <c:pt idx="114">
                  <c:v>2.5607000000000002</c:v>
                </c:pt>
                <c:pt idx="115">
                  <c:v>2.2648999999999999</c:v>
                </c:pt>
                <c:pt idx="116">
                  <c:v>1.9691000000000001</c:v>
                </c:pt>
                <c:pt idx="117">
                  <c:v>1.5757000000000001</c:v>
                </c:pt>
                <c:pt idx="118">
                  <c:v>1.8202</c:v>
                </c:pt>
                <c:pt idx="119">
                  <c:v>2.0625</c:v>
                </c:pt>
                <c:pt idx="120">
                  <c:v>2.1345000000000001</c:v>
                </c:pt>
                <c:pt idx="121">
                  <c:v>2.2077</c:v>
                </c:pt>
                <c:pt idx="122">
                  <c:v>2.3159000000000001</c:v>
                </c:pt>
                <c:pt idx="123">
                  <c:v>2.2145999999999999</c:v>
                </c:pt>
                <c:pt idx="124">
                  <c:v>1.9968999999999999</c:v>
                </c:pt>
                <c:pt idx="125">
                  <c:v>2.2336</c:v>
                </c:pt>
                <c:pt idx="126">
                  <c:v>2.7827999999999999</c:v>
                </c:pt>
                <c:pt idx="127">
                  <c:v>3.1985000000000001</c:v>
                </c:pt>
                <c:pt idx="128">
                  <c:v>2.6375999999999999</c:v>
                </c:pt>
                <c:pt idx="129">
                  <c:v>1.8885000000000001</c:v>
                </c:pt>
                <c:pt idx="130">
                  <c:v>2.2723</c:v>
                </c:pt>
                <c:pt idx="131">
                  <c:v>2.6890999999999998</c:v>
                </c:pt>
                <c:pt idx="132">
                  <c:v>3.2343000000000002</c:v>
                </c:pt>
                <c:pt idx="133">
                  <c:v>3.9687000000000001</c:v>
                </c:pt>
                <c:pt idx="134">
                  <c:v>4.7624000000000004</c:v>
                </c:pt>
                <c:pt idx="135">
                  <c:v>5.4428999999999998</c:v>
                </c:pt>
                <c:pt idx="136">
                  <c:v>5.8601000000000001</c:v>
                </c:pt>
                <c:pt idx="137">
                  <c:v>6.2824999999999998</c:v>
                </c:pt>
                <c:pt idx="138">
                  <c:v>6.2309000000000001</c:v>
                </c:pt>
                <c:pt idx="139">
                  <c:v>6.1444999999999999</c:v>
                </c:pt>
                <c:pt idx="140">
                  <c:v>6.1017000000000001</c:v>
                </c:pt>
                <c:pt idx="141">
                  <c:v>5.9821999999999997</c:v>
                </c:pt>
                <c:pt idx="142">
                  <c:v>5.9061000000000003</c:v>
                </c:pt>
                <c:pt idx="143">
                  <c:v>6.1909000000000001</c:v>
                </c:pt>
                <c:pt idx="144">
                  <c:v>6.5960000000000001</c:v>
                </c:pt>
                <c:pt idx="145">
                  <c:v>6.4573</c:v>
                </c:pt>
                <c:pt idx="146">
                  <c:v>6.1809000000000003</c:v>
                </c:pt>
                <c:pt idx="147">
                  <c:v>5.9097</c:v>
                </c:pt>
                <c:pt idx="148">
                  <c:v>6.2188999999999997</c:v>
                </c:pt>
                <c:pt idx="149">
                  <c:v>6.5785999999999998</c:v>
                </c:pt>
                <c:pt idx="150">
                  <c:v>6.4941000000000004</c:v>
                </c:pt>
                <c:pt idx="151">
                  <c:v>6.3326000000000002</c:v>
                </c:pt>
                <c:pt idx="152">
                  <c:v>6.1904000000000003</c:v>
                </c:pt>
                <c:pt idx="153">
                  <c:v>6.0582000000000003</c:v>
                </c:pt>
                <c:pt idx="154">
                  <c:v>5.9246999999999996</c:v>
                </c:pt>
                <c:pt idx="155">
                  <c:v>5.5876999999999999</c:v>
                </c:pt>
                <c:pt idx="156">
                  <c:v>4.6108000000000002</c:v>
                </c:pt>
                <c:pt idx="157">
                  <c:v>4.7485999999999997</c:v>
                </c:pt>
                <c:pt idx="158">
                  <c:v>4.8371000000000004</c:v>
                </c:pt>
                <c:pt idx="159">
                  <c:v>4.9794</c:v>
                </c:pt>
                <c:pt idx="160">
                  <c:v>5.3007</c:v>
                </c:pt>
                <c:pt idx="161">
                  <c:v>5.6824000000000003</c:v>
                </c:pt>
                <c:pt idx="162">
                  <c:v>6.0312000000000001</c:v>
                </c:pt>
                <c:pt idx="163">
                  <c:v>6.3437000000000001</c:v>
                </c:pt>
                <c:pt idx="164">
                  <c:v>6.7747999999999999</c:v>
                </c:pt>
                <c:pt idx="165">
                  <c:v>6.2637999999999998</c:v>
                </c:pt>
                <c:pt idx="166">
                  <c:v>5.0789</c:v>
                </c:pt>
                <c:pt idx="167">
                  <c:v>4.5964999999999998</c:v>
                </c:pt>
                <c:pt idx="168">
                  <c:v>4.3578999999999999</c:v>
                </c:pt>
                <c:pt idx="169">
                  <c:v>4.1664000000000003</c:v>
                </c:pt>
                <c:pt idx="170">
                  <c:v>4.3262999999999998</c:v>
                </c:pt>
                <c:pt idx="171">
                  <c:v>4.5368000000000004</c:v>
                </c:pt>
                <c:pt idx="172">
                  <c:v>4.7416999999999998</c:v>
                </c:pt>
                <c:pt idx="173">
                  <c:v>4.9576000000000002</c:v>
                </c:pt>
                <c:pt idx="174">
                  <c:v>5.1657999999999999</c:v>
                </c:pt>
                <c:pt idx="175">
                  <c:v>5.2510000000000003</c:v>
                </c:pt>
                <c:pt idx="176">
                  <c:v>5.1101000000000001</c:v>
                </c:pt>
                <c:pt idx="177">
                  <c:v>5.2195</c:v>
                </c:pt>
                <c:pt idx="178">
                  <c:v>5.3388</c:v>
                </c:pt>
                <c:pt idx="179">
                  <c:v>5.4801000000000002</c:v>
                </c:pt>
                <c:pt idx="180">
                  <c:v>5.4061000000000003</c:v>
                </c:pt>
                <c:pt idx="181">
                  <c:v>5.32</c:v>
                </c:pt>
                <c:pt idx="182">
                  <c:v>5.2153999999999998</c:v>
                </c:pt>
                <c:pt idx="183">
                  <c:v>5.2831000000000001</c:v>
                </c:pt>
                <c:pt idx="184">
                  <c:v>5.3102</c:v>
                </c:pt>
                <c:pt idx="185">
                  <c:v>5.3932000000000002</c:v>
                </c:pt>
                <c:pt idx="186">
                  <c:v>5.4124999999999996</c:v>
                </c:pt>
                <c:pt idx="187">
                  <c:v>5.4570999999999996</c:v>
                </c:pt>
                <c:pt idx="188">
                  <c:v>5.5095000000000001</c:v>
                </c:pt>
                <c:pt idx="189">
                  <c:v>5.6101999999999999</c:v>
                </c:pt>
                <c:pt idx="190">
                  <c:v>5.7975000000000003</c:v>
                </c:pt>
                <c:pt idx="191">
                  <c:v>6.0594999999999999</c:v>
                </c:pt>
                <c:pt idx="192">
                  <c:v>5.9272999999999998</c:v>
                </c:pt>
                <c:pt idx="193">
                  <c:v>5.8315000000000001</c:v>
                </c:pt>
                <c:pt idx="194">
                  <c:v>5.7609000000000004</c:v>
                </c:pt>
                <c:pt idx="195">
                  <c:v>5.8219000000000003</c:v>
                </c:pt>
                <c:pt idx="196">
                  <c:v>5.883</c:v>
                </c:pt>
                <c:pt idx="197">
                  <c:v>5.7355</c:v>
                </c:pt>
                <c:pt idx="198">
                  <c:v>5.6154999999999999</c:v>
                </c:pt>
                <c:pt idx="199">
                  <c:v>5.4987000000000004</c:v>
                </c:pt>
                <c:pt idx="200">
                  <c:v>5.5575999999999999</c:v>
                </c:pt>
                <c:pt idx="201">
                  <c:v>5.6044</c:v>
                </c:pt>
                <c:pt idx="202">
                  <c:v>5.5468999999999999</c:v>
                </c:pt>
                <c:pt idx="203">
                  <c:v>5.4410999999999996</c:v>
                </c:pt>
                <c:pt idx="204">
                  <c:v>5.4089</c:v>
                </c:pt>
                <c:pt idx="205">
                  <c:v>5.4513999999999996</c:v>
                </c:pt>
                <c:pt idx="206">
                  <c:v>5.5541999999999998</c:v>
                </c:pt>
                <c:pt idx="207">
                  <c:v>5.7183999999999999</c:v>
                </c:pt>
                <c:pt idx="208">
                  <c:v>5.9013999999999998</c:v>
                </c:pt>
                <c:pt idx="209">
                  <c:v>6.0777000000000001</c:v>
                </c:pt>
                <c:pt idx="210">
                  <c:v>6.0148999999999999</c:v>
                </c:pt>
                <c:pt idx="211">
                  <c:v>5.9913999999999996</c:v>
                </c:pt>
                <c:pt idx="212">
                  <c:v>6.0217000000000001</c:v>
                </c:pt>
                <c:pt idx="213">
                  <c:v>6.0476999999999999</c:v>
                </c:pt>
                <c:pt idx="214">
                  <c:v>6.0890000000000004</c:v>
                </c:pt>
                <c:pt idx="215">
                  <c:v>5.8723000000000001</c:v>
                </c:pt>
                <c:pt idx="216">
                  <c:v>5.7183000000000002</c:v>
                </c:pt>
                <c:pt idx="217">
                  <c:v>5.8101000000000003</c:v>
                </c:pt>
                <c:pt idx="218">
                  <c:v>5.8952999999999998</c:v>
                </c:pt>
                <c:pt idx="219">
                  <c:v>5.9673999999999996</c:v>
                </c:pt>
                <c:pt idx="220">
                  <c:v>5.8407</c:v>
                </c:pt>
                <c:pt idx="221">
                  <c:v>5.7404999999999999</c:v>
                </c:pt>
                <c:pt idx="222">
                  <c:v>5.8719000000000001</c:v>
                </c:pt>
                <c:pt idx="223">
                  <c:v>6.0164</c:v>
                </c:pt>
                <c:pt idx="224">
                  <c:v>6.1993</c:v>
                </c:pt>
                <c:pt idx="225">
                  <c:v>6.3997999999999999</c:v>
                </c:pt>
                <c:pt idx="226">
                  <c:v>6.5717999999999996</c:v>
                </c:pt>
                <c:pt idx="227">
                  <c:v>7.3838999999999997</c:v>
                </c:pt>
                <c:pt idx="228">
                  <c:v>8.6207999999999991</c:v>
                </c:pt>
                <c:pt idx="229">
                  <c:v>9.2218</c:v>
                </c:pt>
                <c:pt idx="230">
                  <c:v>9.3069000000000006</c:v>
                </c:pt>
                <c:pt idx="231">
                  <c:v>9.3905999999999992</c:v>
                </c:pt>
                <c:pt idx="232">
                  <c:v>10.062200000000001</c:v>
                </c:pt>
                <c:pt idx="233">
                  <c:v>10.901199999999999</c:v>
                </c:pt>
                <c:pt idx="234">
                  <c:v>11.541</c:v>
                </c:pt>
                <c:pt idx="235">
                  <c:v>10.916399999999999</c:v>
                </c:pt>
                <c:pt idx="236">
                  <c:v>10.2822</c:v>
                </c:pt>
                <c:pt idx="237">
                  <c:v>10.159800000000001</c:v>
                </c:pt>
                <c:pt idx="238">
                  <c:v>10.092700000000001</c:v>
                </c:pt>
                <c:pt idx="239">
                  <c:v>10.924899999999999</c:v>
                </c:pt>
                <c:pt idx="240">
                  <c:v>12.6297</c:v>
                </c:pt>
                <c:pt idx="241">
                  <c:v>14.0579</c:v>
                </c:pt>
                <c:pt idx="242">
                  <c:v>14.9521</c:v>
                </c:pt>
                <c:pt idx="243">
                  <c:v>14.9529</c:v>
                </c:pt>
                <c:pt idx="244">
                  <c:v>14.7393</c:v>
                </c:pt>
                <c:pt idx="245">
                  <c:v>14.951599999999999</c:v>
                </c:pt>
                <c:pt idx="246">
                  <c:v>14.9536</c:v>
                </c:pt>
                <c:pt idx="247">
                  <c:v>14.9474</c:v>
                </c:pt>
                <c:pt idx="248">
                  <c:v>14.955</c:v>
                </c:pt>
                <c:pt idx="249">
                  <c:v>14.726800000000001</c:v>
                </c:pt>
                <c:pt idx="250">
                  <c:v>14.6343</c:v>
                </c:pt>
                <c:pt idx="251">
                  <c:v>14.479100000000001</c:v>
                </c:pt>
                <c:pt idx="252">
                  <c:v>14.651</c:v>
                </c:pt>
                <c:pt idx="253">
                  <c:v>14.9558</c:v>
                </c:pt>
                <c:pt idx="254">
                  <c:v>14.945600000000001</c:v>
                </c:pt>
                <c:pt idx="255">
                  <c:v>14.4594</c:v>
                </c:pt>
                <c:pt idx="256">
                  <c:v>13.6218</c:v>
                </c:pt>
                <c:pt idx="257">
                  <c:v>14.3985</c:v>
                </c:pt>
                <c:pt idx="258">
                  <c:v>14.9594</c:v>
                </c:pt>
                <c:pt idx="259">
                  <c:v>14.961499999999999</c:v>
                </c:pt>
                <c:pt idx="260">
                  <c:v>14.9567</c:v>
                </c:pt>
                <c:pt idx="261">
                  <c:v>14.949199999999999</c:v>
                </c:pt>
                <c:pt idx="262">
                  <c:v>14.9498</c:v>
                </c:pt>
                <c:pt idx="263">
                  <c:v>14.9519</c:v>
                </c:pt>
                <c:pt idx="264">
                  <c:v>14.201499999999999</c:v>
                </c:pt>
                <c:pt idx="265">
                  <c:v>14.478899999999999</c:v>
                </c:pt>
                <c:pt idx="266">
                  <c:v>14.9458</c:v>
                </c:pt>
                <c:pt idx="267">
                  <c:v>13.351900000000001</c:v>
                </c:pt>
                <c:pt idx="268">
                  <c:v>11.5609</c:v>
                </c:pt>
                <c:pt idx="269">
                  <c:v>9.9300999999999995</c:v>
                </c:pt>
                <c:pt idx="270">
                  <c:v>9.6168999999999993</c:v>
                </c:pt>
                <c:pt idx="271">
                  <c:v>9.2761999999999993</c:v>
                </c:pt>
                <c:pt idx="272">
                  <c:v>9.2988</c:v>
                </c:pt>
                <c:pt idx="273">
                  <c:v>9.3378999999999994</c:v>
                </c:pt>
                <c:pt idx="274">
                  <c:v>9.3693000000000008</c:v>
                </c:pt>
                <c:pt idx="275">
                  <c:v>9.3019999999999996</c:v>
                </c:pt>
                <c:pt idx="276">
                  <c:v>9.2522000000000002</c:v>
                </c:pt>
                <c:pt idx="277">
                  <c:v>9.2431000000000001</c:v>
                </c:pt>
                <c:pt idx="278">
                  <c:v>9.2504000000000008</c:v>
                </c:pt>
                <c:pt idx="279">
                  <c:v>9.2763000000000009</c:v>
                </c:pt>
                <c:pt idx="280">
                  <c:v>9.2803000000000004</c:v>
                </c:pt>
                <c:pt idx="281">
                  <c:v>9.3270999999999997</c:v>
                </c:pt>
                <c:pt idx="282">
                  <c:v>9.3530999999999995</c:v>
                </c:pt>
                <c:pt idx="283">
                  <c:v>9.3571000000000009</c:v>
                </c:pt>
                <c:pt idx="284">
                  <c:v>9.3401999999999994</c:v>
                </c:pt>
                <c:pt idx="285">
                  <c:v>9.1323000000000008</c:v>
                </c:pt>
                <c:pt idx="286">
                  <c:v>8.9123999999999999</c:v>
                </c:pt>
                <c:pt idx="287">
                  <c:v>8.8155000000000001</c:v>
                </c:pt>
                <c:pt idx="288">
                  <c:v>8.7492000000000001</c:v>
                </c:pt>
                <c:pt idx="289">
                  <c:v>8.6883999999999997</c:v>
                </c:pt>
                <c:pt idx="290">
                  <c:v>8.5869999999999997</c:v>
                </c:pt>
                <c:pt idx="291">
                  <c:v>8.3670000000000009</c:v>
                </c:pt>
                <c:pt idx="292">
                  <c:v>8.4577000000000009</c:v>
                </c:pt>
                <c:pt idx="293">
                  <c:v>8.5584000000000007</c:v>
                </c:pt>
                <c:pt idx="294">
                  <c:v>8.6041000000000007</c:v>
                </c:pt>
                <c:pt idx="295">
                  <c:v>8.5455000000000005</c:v>
                </c:pt>
                <c:pt idx="296">
                  <c:v>8.4956999999999994</c:v>
                </c:pt>
                <c:pt idx="297">
                  <c:v>8.4481999999999999</c:v>
                </c:pt>
                <c:pt idx="298">
                  <c:v>8.4083000000000006</c:v>
                </c:pt>
                <c:pt idx="299">
                  <c:v>8.2651000000000003</c:v>
                </c:pt>
                <c:pt idx="300">
                  <c:v>7.9782000000000002</c:v>
                </c:pt>
                <c:pt idx="301">
                  <c:v>7.6769999999999996</c:v>
                </c:pt>
                <c:pt idx="302">
                  <c:v>7.6326999999999998</c:v>
                </c:pt>
                <c:pt idx="303">
                  <c:v>7.5830000000000002</c:v>
                </c:pt>
                <c:pt idx="304">
                  <c:v>7.4991000000000003</c:v>
                </c:pt>
                <c:pt idx="305">
                  <c:v>7.3098999999999998</c:v>
                </c:pt>
                <c:pt idx="306">
                  <c:v>7.1479999999999997</c:v>
                </c:pt>
                <c:pt idx="307">
                  <c:v>6.9512</c:v>
                </c:pt>
                <c:pt idx="308">
                  <c:v>6.7159000000000004</c:v>
                </c:pt>
                <c:pt idx="309">
                  <c:v>6.5397999999999996</c:v>
                </c:pt>
                <c:pt idx="310">
                  <c:v>6.3769</c:v>
                </c:pt>
                <c:pt idx="311">
                  <c:v>6.1603000000000003</c:v>
                </c:pt>
                <c:pt idx="312">
                  <c:v>6.6638000000000002</c:v>
                </c:pt>
                <c:pt idx="313">
                  <c:v>7.8830999999999998</c:v>
                </c:pt>
                <c:pt idx="314">
                  <c:v>9.2077000000000009</c:v>
                </c:pt>
              </c:numCache>
            </c:numRef>
          </c:xVal>
          <c:yVal>
            <c:numRef>
              <c:f>'ej 5.2'!$A$9:$A$341</c:f>
              <c:numCache>
                <c:formatCode>0.00</c:formatCode>
                <c:ptCount val="333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0.39999999999999997</c:v>
                </c:pt>
                <c:pt idx="9">
                  <c:v>0.44999999999999996</c:v>
                </c:pt>
                <c:pt idx="10">
                  <c:v>0.49999999999999994</c:v>
                </c:pt>
                <c:pt idx="11">
                  <c:v>0.54999999999999993</c:v>
                </c:pt>
                <c:pt idx="12">
                  <c:v>0.6</c:v>
                </c:pt>
                <c:pt idx="13">
                  <c:v>0.65</c:v>
                </c:pt>
                <c:pt idx="14">
                  <c:v>0.70000000000000007</c:v>
                </c:pt>
                <c:pt idx="15">
                  <c:v>0.75000000000000011</c:v>
                </c:pt>
                <c:pt idx="16">
                  <c:v>0.80000000000000016</c:v>
                </c:pt>
                <c:pt idx="17">
                  <c:v>0.8500000000000002</c:v>
                </c:pt>
                <c:pt idx="18">
                  <c:v>0.90000000000000024</c:v>
                </c:pt>
                <c:pt idx="19">
                  <c:v>0.95000000000000029</c:v>
                </c:pt>
                <c:pt idx="20">
                  <c:v>1.0000000000000002</c:v>
                </c:pt>
                <c:pt idx="21">
                  <c:v>1.0500000000000003</c:v>
                </c:pt>
                <c:pt idx="22">
                  <c:v>1.1000000000000003</c:v>
                </c:pt>
                <c:pt idx="23">
                  <c:v>1.1500000000000004</c:v>
                </c:pt>
                <c:pt idx="24">
                  <c:v>1.2000000000000004</c:v>
                </c:pt>
                <c:pt idx="25">
                  <c:v>1.2500000000000004</c:v>
                </c:pt>
                <c:pt idx="26">
                  <c:v>1.3000000000000005</c:v>
                </c:pt>
                <c:pt idx="27">
                  <c:v>1.3500000000000005</c:v>
                </c:pt>
                <c:pt idx="28">
                  <c:v>1.4000000000000006</c:v>
                </c:pt>
                <c:pt idx="29">
                  <c:v>1.4500000000000006</c:v>
                </c:pt>
                <c:pt idx="30">
                  <c:v>1.5000000000000007</c:v>
                </c:pt>
                <c:pt idx="31">
                  <c:v>1.5500000000000007</c:v>
                </c:pt>
                <c:pt idx="32">
                  <c:v>1.6000000000000008</c:v>
                </c:pt>
                <c:pt idx="33">
                  <c:v>1.6500000000000008</c:v>
                </c:pt>
                <c:pt idx="34">
                  <c:v>1.7000000000000008</c:v>
                </c:pt>
                <c:pt idx="35">
                  <c:v>1.7500000000000009</c:v>
                </c:pt>
                <c:pt idx="36">
                  <c:v>1.8000000000000009</c:v>
                </c:pt>
                <c:pt idx="37">
                  <c:v>1.850000000000001</c:v>
                </c:pt>
                <c:pt idx="38">
                  <c:v>1.900000000000001</c:v>
                </c:pt>
                <c:pt idx="39">
                  <c:v>1.9500000000000011</c:v>
                </c:pt>
                <c:pt idx="40">
                  <c:v>2.0000000000000009</c:v>
                </c:pt>
                <c:pt idx="41">
                  <c:v>2.0500000000000007</c:v>
                </c:pt>
                <c:pt idx="42">
                  <c:v>2.1000000000000005</c:v>
                </c:pt>
                <c:pt idx="43">
                  <c:v>2.1500000000000004</c:v>
                </c:pt>
                <c:pt idx="44">
                  <c:v>2.2000000000000002</c:v>
                </c:pt>
                <c:pt idx="45">
                  <c:v>2.25</c:v>
                </c:pt>
                <c:pt idx="46">
                  <c:v>2.2999999999999998</c:v>
                </c:pt>
                <c:pt idx="47">
                  <c:v>2.3499999999999996</c:v>
                </c:pt>
                <c:pt idx="48">
                  <c:v>2.3999999999999995</c:v>
                </c:pt>
                <c:pt idx="49">
                  <c:v>2.4499999999999993</c:v>
                </c:pt>
                <c:pt idx="50">
                  <c:v>2.4999999999999991</c:v>
                </c:pt>
                <c:pt idx="51">
                  <c:v>2.5499999999999989</c:v>
                </c:pt>
                <c:pt idx="52">
                  <c:v>2.5999999999999988</c:v>
                </c:pt>
                <c:pt idx="53">
                  <c:v>2.6499999999999986</c:v>
                </c:pt>
                <c:pt idx="54">
                  <c:v>2.6999999999999984</c:v>
                </c:pt>
                <c:pt idx="55">
                  <c:v>2.7499999999999982</c:v>
                </c:pt>
                <c:pt idx="56">
                  <c:v>2.799999999999998</c:v>
                </c:pt>
                <c:pt idx="57">
                  <c:v>2.8499999999999979</c:v>
                </c:pt>
                <c:pt idx="58">
                  <c:v>2.8999999999999977</c:v>
                </c:pt>
                <c:pt idx="59">
                  <c:v>2.9499999999999975</c:v>
                </c:pt>
                <c:pt idx="60">
                  <c:v>2.9999999999999973</c:v>
                </c:pt>
                <c:pt idx="61">
                  <c:v>3.0499999999999972</c:v>
                </c:pt>
                <c:pt idx="62">
                  <c:v>3.099999999999997</c:v>
                </c:pt>
                <c:pt idx="63">
                  <c:v>3.1499999999999968</c:v>
                </c:pt>
                <c:pt idx="64">
                  <c:v>3.1999999999999966</c:v>
                </c:pt>
                <c:pt idx="65">
                  <c:v>3.2499999999999964</c:v>
                </c:pt>
                <c:pt idx="66">
                  <c:v>3.2999999999999963</c:v>
                </c:pt>
                <c:pt idx="67">
                  <c:v>3.3499999999999961</c:v>
                </c:pt>
                <c:pt idx="68">
                  <c:v>3.3999999999999959</c:v>
                </c:pt>
                <c:pt idx="69">
                  <c:v>3.4499999999999957</c:v>
                </c:pt>
                <c:pt idx="70">
                  <c:v>3.4999999999999956</c:v>
                </c:pt>
                <c:pt idx="71">
                  <c:v>3.5499999999999954</c:v>
                </c:pt>
                <c:pt idx="72">
                  <c:v>3.5999999999999952</c:v>
                </c:pt>
                <c:pt idx="73">
                  <c:v>3.649999999999995</c:v>
                </c:pt>
                <c:pt idx="74">
                  <c:v>3.6999999999999948</c:v>
                </c:pt>
                <c:pt idx="75">
                  <c:v>3.7499999999999947</c:v>
                </c:pt>
                <c:pt idx="76">
                  <c:v>3.7999999999999945</c:v>
                </c:pt>
                <c:pt idx="77">
                  <c:v>3.8499999999999943</c:v>
                </c:pt>
                <c:pt idx="78">
                  <c:v>3.8999999999999941</c:v>
                </c:pt>
                <c:pt idx="79">
                  <c:v>3.949999999999994</c:v>
                </c:pt>
                <c:pt idx="80">
                  <c:v>3.9999999999999938</c:v>
                </c:pt>
                <c:pt idx="81">
                  <c:v>4.0499999999999936</c:v>
                </c:pt>
                <c:pt idx="82">
                  <c:v>4.0999999999999934</c:v>
                </c:pt>
                <c:pt idx="83">
                  <c:v>4.1499999999999932</c:v>
                </c:pt>
                <c:pt idx="84">
                  <c:v>4.1999999999999931</c:v>
                </c:pt>
                <c:pt idx="85">
                  <c:v>4.2499999999999929</c:v>
                </c:pt>
                <c:pt idx="86">
                  <c:v>4.2999999999999927</c:v>
                </c:pt>
                <c:pt idx="87">
                  <c:v>4.3499999999999925</c:v>
                </c:pt>
                <c:pt idx="88">
                  <c:v>4.3999999999999924</c:v>
                </c:pt>
                <c:pt idx="89">
                  <c:v>4.4499999999999922</c:v>
                </c:pt>
                <c:pt idx="90">
                  <c:v>4.499999999999992</c:v>
                </c:pt>
                <c:pt idx="91">
                  <c:v>4.5499999999999918</c:v>
                </c:pt>
                <c:pt idx="92">
                  <c:v>4.5999999999999917</c:v>
                </c:pt>
                <c:pt idx="93">
                  <c:v>4.6499999999999915</c:v>
                </c:pt>
                <c:pt idx="94">
                  <c:v>4.6999999999999913</c:v>
                </c:pt>
                <c:pt idx="95">
                  <c:v>4.7499999999999911</c:v>
                </c:pt>
                <c:pt idx="96">
                  <c:v>4.7999999999999909</c:v>
                </c:pt>
                <c:pt idx="97">
                  <c:v>4.8499999999999908</c:v>
                </c:pt>
                <c:pt idx="98">
                  <c:v>4.8999999999999906</c:v>
                </c:pt>
                <c:pt idx="99">
                  <c:v>4.9499999999999904</c:v>
                </c:pt>
                <c:pt idx="100">
                  <c:v>4.9999999999999902</c:v>
                </c:pt>
                <c:pt idx="101">
                  <c:v>5.0499999999999901</c:v>
                </c:pt>
                <c:pt idx="102">
                  <c:v>5.0999999999999899</c:v>
                </c:pt>
                <c:pt idx="103">
                  <c:v>5.1499999999999897</c:v>
                </c:pt>
                <c:pt idx="104">
                  <c:v>5.1999999999999895</c:v>
                </c:pt>
                <c:pt idx="105">
                  <c:v>5.2499999999999893</c:v>
                </c:pt>
                <c:pt idx="106">
                  <c:v>5.2999999999999892</c:v>
                </c:pt>
                <c:pt idx="107">
                  <c:v>5.349999999999989</c:v>
                </c:pt>
                <c:pt idx="108">
                  <c:v>5.3999999999999888</c:v>
                </c:pt>
                <c:pt idx="109">
                  <c:v>5.4499999999999886</c:v>
                </c:pt>
                <c:pt idx="110">
                  <c:v>5.4999999999999885</c:v>
                </c:pt>
                <c:pt idx="111">
                  <c:v>5.5499999999999883</c:v>
                </c:pt>
                <c:pt idx="112">
                  <c:v>5.5999999999999881</c:v>
                </c:pt>
                <c:pt idx="113">
                  <c:v>5.6499999999999879</c:v>
                </c:pt>
                <c:pt idx="114">
                  <c:v>5.6999999999999877</c:v>
                </c:pt>
                <c:pt idx="115">
                  <c:v>5.7499999999999876</c:v>
                </c:pt>
                <c:pt idx="116">
                  <c:v>5.7999999999999874</c:v>
                </c:pt>
                <c:pt idx="117">
                  <c:v>5.8499999999999872</c:v>
                </c:pt>
                <c:pt idx="118">
                  <c:v>5.899999999999987</c:v>
                </c:pt>
                <c:pt idx="119">
                  <c:v>5.9499999999999869</c:v>
                </c:pt>
                <c:pt idx="120">
                  <c:v>5.9999999999999867</c:v>
                </c:pt>
                <c:pt idx="121">
                  <c:v>6.0499999999999865</c:v>
                </c:pt>
                <c:pt idx="122">
                  <c:v>6.0999999999999863</c:v>
                </c:pt>
                <c:pt idx="123">
                  <c:v>6.1499999999999861</c:v>
                </c:pt>
                <c:pt idx="124">
                  <c:v>6.199999999999986</c:v>
                </c:pt>
                <c:pt idx="125">
                  <c:v>6.2499999999999858</c:v>
                </c:pt>
                <c:pt idx="126">
                  <c:v>6.2999999999999856</c:v>
                </c:pt>
                <c:pt idx="127">
                  <c:v>6.3499999999999854</c:v>
                </c:pt>
                <c:pt idx="128">
                  <c:v>6.3999999999999853</c:v>
                </c:pt>
                <c:pt idx="129">
                  <c:v>6.4499999999999851</c:v>
                </c:pt>
                <c:pt idx="130">
                  <c:v>6.4999999999999849</c:v>
                </c:pt>
                <c:pt idx="131">
                  <c:v>6.5499999999999847</c:v>
                </c:pt>
                <c:pt idx="132">
                  <c:v>6.5999999999999845</c:v>
                </c:pt>
                <c:pt idx="133">
                  <c:v>6.6499999999999844</c:v>
                </c:pt>
                <c:pt idx="134">
                  <c:v>6.6999999999999842</c:v>
                </c:pt>
                <c:pt idx="135">
                  <c:v>6.749999999999984</c:v>
                </c:pt>
                <c:pt idx="136">
                  <c:v>6.7999999999999838</c:v>
                </c:pt>
                <c:pt idx="137">
                  <c:v>6.8499999999999837</c:v>
                </c:pt>
                <c:pt idx="138">
                  <c:v>6.8999999999999835</c:v>
                </c:pt>
                <c:pt idx="139">
                  <c:v>6.9499999999999833</c:v>
                </c:pt>
                <c:pt idx="140">
                  <c:v>6.9999999999999831</c:v>
                </c:pt>
                <c:pt idx="141">
                  <c:v>7.0499999999999829</c:v>
                </c:pt>
                <c:pt idx="142">
                  <c:v>7.0999999999999828</c:v>
                </c:pt>
                <c:pt idx="143">
                  <c:v>7.1499999999999826</c:v>
                </c:pt>
                <c:pt idx="144">
                  <c:v>7.1999999999999824</c:v>
                </c:pt>
                <c:pt idx="145">
                  <c:v>7.2499999999999822</c:v>
                </c:pt>
                <c:pt idx="146">
                  <c:v>7.2999999999999821</c:v>
                </c:pt>
                <c:pt idx="147">
                  <c:v>7.3499999999999819</c:v>
                </c:pt>
                <c:pt idx="148">
                  <c:v>7.3999999999999817</c:v>
                </c:pt>
                <c:pt idx="149">
                  <c:v>7.4499999999999815</c:v>
                </c:pt>
                <c:pt idx="150">
                  <c:v>7.4999999999999813</c:v>
                </c:pt>
                <c:pt idx="151">
                  <c:v>7.5499999999999812</c:v>
                </c:pt>
                <c:pt idx="152">
                  <c:v>7.599999999999981</c:v>
                </c:pt>
                <c:pt idx="153">
                  <c:v>7.6499999999999808</c:v>
                </c:pt>
                <c:pt idx="154">
                  <c:v>7.6999999999999806</c:v>
                </c:pt>
                <c:pt idx="155">
                  <c:v>7.7499999999999805</c:v>
                </c:pt>
                <c:pt idx="156">
                  <c:v>7.7999999999999803</c:v>
                </c:pt>
                <c:pt idx="157">
                  <c:v>7.8499999999999801</c:v>
                </c:pt>
                <c:pt idx="158">
                  <c:v>7.8999999999999799</c:v>
                </c:pt>
                <c:pt idx="159">
                  <c:v>7.9499999999999797</c:v>
                </c:pt>
                <c:pt idx="160">
                  <c:v>7.9999999999999796</c:v>
                </c:pt>
                <c:pt idx="161">
                  <c:v>8.0499999999999794</c:v>
                </c:pt>
                <c:pt idx="162">
                  <c:v>8.0999999999999801</c:v>
                </c:pt>
                <c:pt idx="163">
                  <c:v>8.1499999999999808</c:v>
                </c:pt>
                <c:pt idx="164">
                  <c:v>8.1999999999999815</c:v>
                </c:pt>
                <c:pt idx="165">
                  <c:v>8.2499999999999822</c:v>
                </c:pt>
                <c:pt idx="166">
                  <c:v>8.2999999999999829</c:v>
                </c:pt>
                <c:pt idx="167">
                  <c:v>8.3499999999999837</c:v>
                </c:pt>
                <c:pt idx="168">
                  <c:v>8.3999999999999844</c:v>
                </c:pt>
                <c:pt idx="169">
                  <c:v>8.4499999999999851</c:v>
                </c:pt>
                <c:pt idx="170">
                  <c:v>8.4999999999999858</c:v>
                </c:pt>
                <c:pt idx="171">
                  <c:v>8.5499999999999865</c:v>
                </c:pt>
                <c:pt idx="172">
                  <c:v>8.5999999999999872</c:v>
                </c:pt>
                <c:pt idx="173">
                  <c:v>8.6499999999999879</c:v>
                </c:pt>
                <c:pt idx="174">
                  <c:v>8.6999999999999886</c:v>
                </c:pt>
                <c:pt idx="175">
                  <c:v>8.7499999999999893</c:v>
                </c:pt>
                <c:pt idx="176">
                  <c:v>8.7999999999999901</c:v>
                </c:pt>
                <c:pt idx="177">
                  <c:v>8.8499999999999908</c:v>
                </c:pt>
                <c:pt idx="178">
                  <c:v>8.8999999999999915</c:v>
                </c:pt>
                <c:pt idx="179">
                  <c:v>8.9499999999999922</c:v>
                </c:pt>
                <c:pt idx="180">
                  <c:v>8.9999999999999929</c:v>
                </c:pt>
                <c:pt idx="181">
                  <c:v>9.0499999999999936</c:v>
                </c:pt>
                <c:pt idx="182">
                  <c:v>9.0999999999999943</c:v>
                </c:pt>
                <c:pt idx="183">
                  <c:v>9.149999999999995</c:v>
                </c:pt>
                <c:pt idx="184">
                  <c:v>9.1999999999999957</c:v>
                </c:pt>
                <c:pt idx="185">
                  <c:v>9.2499999999999964</c:v>
                </c:pt>
                <c:pt idx="186">
                  <c:v>9.2999999999999972</c:v>
                </c:pt>
                <c:pt idx="187">
                  <c:v>9.3499999999999979</c:v>
                </c:pt>
                <c:pt idx="188">
                  <c:v>9.3999999999999986</c:v>
                </c:pt>
                <c:pt idx="189">
                  <c:v>9.4499999999999993</c:v>
                </c:pt>
                <c:pt idx="190">
                  <c:v>9.5</c:v>
                </c:pt>
                <c:pt idx="191">
                  <c:v>9.5500000000000007</c:v>
                </c:pt>
                <c:pt idx="192">
                  <c:v>9.6000000000000014</c:v>
                </c:pt>
                <c:pt idx="193">
                  <c:v>9.6500000000000021</c:v>
                </c:pt>
                <c:pt idx="194">
                  <c:v>9.7000000000000028</c:v>
                </c:pt>
                <c:pt idx="195">
                  <c:v>9.7500000000000036</c:v>
                </c:pt>
                <c:pt idx="196">
                  <c:v>9.8000000000000043</c:v>
                </c:pt>
                <c:pt idx="197">
                  <c:v>9.850000000000005</c:v>
                </c:pt>
                <c:pt idx="198">
                  <c:v>9.9000000000000057</c:v>
                </c:pt>
                <c:pt idx="199">
                  <c:v>9.9500000000000064</c:v>
                </c:pt>
                <c:pt idx="200">
                  <c:v>10.000000000000007</c:v>
                </c:pt>
                <c:pt idx="201">
                  <c:v>10.050000000000008</c:v>
                </c:pt>
                <c:pt idx="202">
                  <c:v>10.100000000000009</c:v>
                </c:pt>
                <c:pt idx="203">
                  <c:v>10.150000000000009</c:v>
                </c:pt>
                <c:pt idx="204">
                  <c:v>10.20000000000001</c:v>
                </c:pt>
                <c:pt idx="205">
                  <c:v>10.250000000000011</c:v>
                </c:pt>
                <c:pt idx="206">
                  <c:v>10.300000000000011</c:v>
                </c:pt>
                <c:pt idx="207">
                  <c:v>10.350000000000012</c:v>
                </c:pt>
                <c:pt idx="208">
                  <c:v>10.400000000000013</c:v>
                </c:pt>
                <c:pt idx="209">
                  <c:v>10.450000000000014</c:v>
                </c:pt>
                <c:pt idx="210">
                  <c:v>10.500000000000014</c:v>
                </c:pt>
                <c:pt idx="211">
                  <c:v>10.550000000000015</c:v>
                </c:pt>
                <c:pt idx="212">
                  <c:v>10.600000000000016</c:v>
                </c:pt>
                <c:pt idx="213">
                  <c:v>10.650000000000016</c:v>
                </c:pt>
                <c:pt idx="214">
                  <c:v>10.700000000000017</c:v>
                </c:pt>
                <c:pt idx="215">
                  <c:v>10.750000000000018</c:v>
                </c:pt>
                <c:pt idx="216">
                  <c:v>10.800000000000018</c:v>
                </c:pt>
                <c:pt idx="217">
                  <c:v>10.850000000000019</c:v>
                </c:pt>
                <c:pt idx="218">
                  <c:v>10.90000000000002</c:v>
                </c:pt>
                <c:pt idx="219">
                  <c:v>10.950000000000021</c:v>
                </c:pt>
                <c:pt idx="220">
                  <c:v>11.000000000000021</c:v>
                </c:pt>
                <c:pt idx="221">
                  <c:v>11.050000000000022</c:v>
                </c:pt>
                <c:pt idx="222">
                  <c:v>11.100000000000023</c:v>
                </c:pt>
                <c:pt idx="223">
                  <c:v>11.150000000000023</c:v>
                </c:pt>
                <c:pt idx="224">
                  <c:v>11.200000000000024</c:v>
                </c:pt>
                <c:pt idx="225">
                  <c:v>11.250000000000025</c:v>
                </c:pt>
                <c:pt idx="226">
                  <c:v>11.300000000000026</c:v>
                </c:pt>
                <c:pt idx="227">
                  <c:v>11.350000000000026</c:v>
                </c:pt>
                <c:pt idx="228">
                  <c:v>11.400000000000027</c:v>
                </c:pt>
                <c:pt idx="229">
                  <c:v>11.450000000000028</c:v>
                </c:pt>
                <c:pt idx="230">
                  <c:v>11.500000000000028</c:v>
                </c:pt>
                <c:pt idx="231">
                  <c:v>11.550000000000029</c:v>
                </c:pt>
                <c:pt idx="232">
                  <c:v>11.60000000000003</c:v>
                </c:pt>
                <c:pt idx="233">
                  <c:v>11.650000000000031</c:v>
                </c:pt>
                <c:pt idx="234">
                  <c:v>11.700000000000031</c:v>
                </c:pt>
                <c:pt idx="235">
                  <c:v>11.750000000000032</c:v>
                </c:pt>
                <c:pt idx="236">
                  <c:v>11.800000000000033</c:v>
                </c:pt>
                <c:pt idx="237">
                  <c:v>11.850000000000033</c:v>
                </c:pt>
                <c:pt idx="238">
                  <c:v>11.900000000000034</c:v>
                </c:pt>
                <c:pt idx="239">
                  <c:v>11.950000000000035</c:v>
                </c:pt>
                <c:pt idx="240">
                  <c:v>12.000000000000036</c:v>
                </c:pt>
                <c:pt idx="241">
                  <c:v>12.050000000000036</c:v>
                </c:pt>
                <c:pt idx="242">
                  <c:v>12.100000000000037</c:v>
                </c:pt>
                <c:pt idx="243">
                  <c:v>12.150000000000038</c:v>
                </c:pt>
                <c:pt idx="244">
                  <c:v>12.200000000000038</c:v>
                </c:pt>
                <c:pt idx="245">
                  <c:v>12.250000000000039</c:v>
                </c:pt>
                <c:pt idx="246">
                  <c:v>12.30000000000004</c:v>
                </c:pt>
                <c:pt idx="247">
                  <c:v>12.350000000000041</c:v>
                </c:pt>
                <c:pt idx="248">
                  <c:v>12.400000000000041</c:v>
                </c:pt>
                <c:pt idx="249">
                  <c:v>12.450000000000042</c:v>
                </c:pt>
                <c:pt idx="250">
                  <c:v>12.500000000000043</c:v>
                </c:pt>
                <c:pt idx="251">
                  <c:v>12.550000000000043</c:v>
                </c:pt>
                <c:pt idx="252">
                  <c:v>12.600000000000044</c:v>
                </c:pt>
                <c:pt idx="253">
                  <c:v>12.650000000000045</c:v>
                </c:pt>
                <c:pt idx="254">
                  <c:v>12.700000000000045</c:v>
                </c:pt>
                <c:pt idx="255">
                  <c:v>12.750000000000046</c:v>
                </c:pt>
                <c:pt idx="256">
                  <c:v>12.800000000000047</c:v>
                </c:pt>
                <c:pt idx="257">
                  <c:v>12.850000000000048</c:v>
                </c:pt>
                <c:pt idx="258">
                  <c:v>12.900000000000048</c:v>
                </c:pt>
                <c:pt idx="259">
                  <c:v>12.950000000000049</c:v>
                </c:pt>
                <c:pt idx="260">
                  <c:v>13.00000000000005</c:v>
                </c:pt>
                <c:pt idx="261">
                  <c:v>13.05000000000005</c:v>
                </c:pt>
                <c:pt idx="262">
                  <c:v>13.100000000000051</c:v>
                </c:pt>
                <c:pt idx="263">
                  <c:v>13.150000000000052</c:v>
                </c:pt>
                <c:pt idx="264">
                  <c:v>13.200000000000053</c:v>
                </c:pt>
                <c:pt idx="265">
                  <c:v>13.250000000000053</c:v>
                </c:pt>
                <c:pt idx="266">
                  <c:v>13.300000000000054</c:v>
                </c:pt>
                <c:pt idx="267">
                  <c:v>13.350000000000055</c:v>
                </c:pt>
                <c:pt idx="268">
                  <c:v>13.400000000000055</c:v>
                </c:pt>
                <c:pt idx="269">
                  <c:v>13.450000000000056</c:v>
                </c:pt>
                <c:pt idx="270">
                  <c:v>13.500000000000057</c:v>
                </c:pt>
                <c:pt idx="271">
                  <c:v>13.550000000000058</c:v>
                </c:pt>
                <c:pt idx="272">
                  <c:v>13.600000000000058</c:v>
                </c:pt>
                <c:pt idx="273">
                  <c:v>13.650000000000059</c:v>
                </c:pt>
                <c:pt idx="274">
                  <c:v>13.70000000000006</c:v>
                </c:pt>
                <c:pt idx="275">
                  <c:v>13.75000000000006</c:v>
                </c:pt>
                <c:pt idx="276">
                  <c:v>13.800000000000061</c:v>
                </c:pt>
                <c:pt idx="277">
                  <c:v>13.850000000000062</c:v>
                </c:pt>
                <c:pt idx="278">
                  <c:v>13.900000000000063</c:v>
                </c:pt>
                <c:pt idx="279">
                  <c:v>13.950000000000063</c:v>
                </c:pt>
                <c:pt idx="280">
                  <c:v>14.000000000000064</c:v>
                </c:pt>
                <c:pt idx="281">
                  <c:v>14.050000000000065</c:v>
                </c:pt>
                <c:pt idx="282">
                  <c:v>14.100000000000065</c:v>
                </c:pt>
                <c:pt idx="283">
                  <c:v>14.150000000000066</c:v>
                </c:pt>
                <c:pt idx="284">
                  <c:v>14.200000000000067</c:v>
                </c:pt>
                <c:pt idx="285">
                  <c:v>14.250000000000068</c:v>
                </c:pt>
                <c:pt idx="286">
                  <c:v>14.300000000000068</c:v>
                </c:pt>
                <c:pt idx="287">
                  <c:v>14.350000000000069</c:v>
                </c:pt>
                <c:pt idx="288">
                  <c:v>14.40000000000007</c:v>
                </c:pt>
                <c:pt idx="289">
                  <c:v>14.45000000000007</c:v>
                </c:pt>
                <c:pt idx="290">
                  <c:v>14.500000000000071</c:v>
                </c:pt>
                <c:pt idx="291">
                  <c:v>14.550000000000072</c:v>
                </c:pt>
                <c:pt idx="292">
                  <c:v>14.600000000000072</c:v>
                </c:pt>
                <c:pt idx="293">
                  <c:v>14.650000000000073</c:v>
                </c:pt>
                <c:pt idx="294">
                  <c:v>14.700000000000074</c:v>
                </c:pt>
                <c:pt idx="295">
                  <c:v>14.750000000000075</c:v>
                </c:pt>
                <c:pt idx="296">
                  <c:v>14.800000000000075</c:v>
                </c:pt>
                <c:pt idx="297">
                  <c:v>14.850000000000076</c:v>
                </c:pt>
                <c:pt idx="298">
                  <c:v>14.900000000000077</c:v>
                </c:pt>
                <c:pt idx="299">
                  <c:v>14.950000000000077</c:v>
                </c:pt>
                <c:pt idx="300">
                  <c:v>15.000000000000078</c:v>
                </c:pt>
                <c:pt idx="301">
                  <c:v>15.050000000000079</c:v>
                </c:pt>
                <c:pt idx="302">
                  <c:v>15.10000000000008</c:v>
                </c:pt>
                <c:pt idx="303">
                  <c:v>15.15000000000008</c:v>
                </c:pt>
                <c:pt idx="304">
                  <c:v>15.200000000000081</c:v>
                </c:pt>
                <c:pt idx="305">
                  <c:v>15.250000000000082</c:v>
                </c:pt>
                <c:pt idx="306">
                  <c:v>15.300000000000082</c:v>
                </c:pt>
                <c:pt idx="307">
                  <c:v>15.350000000000083</c:v>
                </c:pt>
                <c:pt idx="308">
                  <c:v>15.400000000000084</c:v>
                </c:pt>
                <c:pt idx="309">
                  <c:v>15.450000000000085</c:v>
                </c:pt>
                <c:pt idx="310">
                  <c:v>15.500000000000085</c:v>
                </c:pt>
                <c:pt idx="311">
                  <c:v>15.550000000000086</c:v>
                </c:pt>
                <c:pt idx="312">
                  <c:v>15.600000000000087</c:v>
                </c:pt>
                <c:pt idx="313">
                  <c:v>15.650000000000087</c:v>
                </c:pt>
                <c:pt idx="314">
                  <c:v>15.700000000000088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69-5C4A-9908-A92CB5A44A29}"/>
            </c:ext>
          </c:extLst>
        </c:ser>
        <c:ser>
          <c:idx val="1"/>
          <c:order val="1"/>
          <c:tx>
            <c:v>-1 SD</c:v>
          </c:tx>
          <c:spPr>
            <a:ln w="127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'ej 5.2'!$D$9:$D$341</c:f>
              <c:numCache>
                <c:formatCode>0.00</c:formatCode>
                <c:ptCount val="333"/>
                <c:pt idx="0">
                  <c:v>3.5527136788005009E-15</c:v>
                </c:pt>
                <c:pt idx="1">
                  <c:v>0</c:v>
                </c:pt>
                <c:pt idx="2">
                  <c:v>0</c:v>
                </c:pt>
                <c:pt idx="3">
                  <c:v>0.11139999999999994</c:v>
                </c:pt>
                <c:pt idx="4">
                  <c:v>0.50680000000000014</c:v>
                </c:pt>
                <c:pt idx="5">
                  <c:v>0.63714999999999988</c:v>
                </c:pt>
                <c:pt idx="6">
                  <c:v>0.59690000000000021</c:v>
                </c:pt>
                <c:pt idx="7">
                  <c:v>0.65114999999999945</c:v>
                </c:pt>
                <c:pt idx="8">
                  <c:v>0.60305000000000009</c:v>
                </c:pt>
                <c:pt idx="9">
                  <c:v>0.53160000000000007</c:v>
                </c:pt>
                <c:pt idx="10">
                  <c:v>0.52705000000000002</c:v>
                </c:pt>
                <c:pt idx="11">
                  <c:v>0.64645000000000064</c:v>
                </c:pt>
                <c:pt idx="12">
                  <c:v>0.6402000000000001</c:v>
                </c:pt>
                <c:pt idx="13">
                  <c:v>0.45730000000000004</c:v>
                </c:pt>
                <c:pt idx="14">
                  <c:v>0.89564999999999984</c:v>
                </c:pt>
                <c:pt idx="15">
                  <c:v>0.78269999999999973</c:v>
                </c:pt>
                <c:pt idx="16">
                  <c:v>1.0468999999999999</c:v>
                </c:pt>
                <c:pt idx="17">
                  <c:v>0.98659999999999992</c:v>
                </c:pt>
                <c:pt idx="18">
                  <c:v>0.8375999999999999</c:v>
                </c:pt>
                <c:pt idx="19">
                  <c:v>0.71325000000000005</c:v>
                </c:pt>
                <c:pt idx="20">
                  <c:v>0.88355000000000006</c:v>
                </c:pt>
                <c:pt idx="21">
                  <c:v>1.0444</c:v>
                </c:pt>
                <c:pt idx="22">
                  <c:v>1.24925</c:v>
                </c:pt>
                <c:pt idx="23">
                  <c:v>1.1192499999999999</c:v>
                </c:pt>
                <c:pt idx="24">
                  <c:v>1.0670000000000002</c:v>
                </c:pt>
                <c:pt idx="25">
                  <c:v>1.0964500000000001</c:v>
                </c:pt>
                <c:pt idx="26">
                  <c:v>1.14815</c:v>
                </c:pt>
                <c:pt idx="27">
                  <c:v>1.16425</c:v>
                </c:pt>
                <c:pt idx="28">
                  <c:v>1.1380000000000001</c:v>
                </c:pt>
                <c:pt idx="29">
                  <c:v>1.1814499999999999</c:v>
                </c:pt>
                <c:pt idx="30">
                  <c:v>1.1980499999999998</c:v>
                </c:pt>
                <c:pt idx="31">
                  <c:v>1.2112499999999999</c:v>
                </c:pt>
                <c:pt idx="32">
                  <c:v>1.21085</c:v>
                </c:pt>
                <c:pt idx="33">
                  <c:v>1.2033</c:v>
                </c:pt>
                <c:pt idx="34">
                  <c:v>1.2534000000000001</c:v>
                </c:pt>
                <c:pt idx="35">
                  <c:v>1.1728999999999998</c:v>
                </c:pt>
                <c:pt idx="36">
                  <c:v>1.1281500000000002</c:v>
                </c:pt>
                <c:pt idx="37">
                  <c:v>1.1536500000000001</c:v>
                </c:pt>
                <c:pt idx="38">
                  <c:v>1.2180500000000001</c:v>
                </c:pt>
                <c:pt idx="39">
                  <c:v>1.23475</c:v>
                </c:pt>
                <c:pt idx="40">
                  <c:v>1.21515</c:v>
                </c:pt>
                <c:pt idx="41">
                  <c:v>1.15045</c:v>
                </c:pt>
                <c:pt idx="42">
                  <c:v>1.1874500000000001</c:v>
                </c:pt>
                <c:pt idx="43">
                  <c:v>1.2854000000000001</c:v>
                </c:pt>
                <c:pt idx="44">
                  <c:v>1.3892500000000001</c:v>
                </c:pt>
                <c:pt idx="45">
                  <c:v>1.3765499999999999</c:v>
                </c:pt>
                <c:pt idx="46">
                  <c:v>1.1780499999999998</c:v>
                </c:pt>
                <c:pt idx="47">
                  <c:v>1.1139999999999999</c:v>
                </c:pt>
                <c:pt idx="48">
                  <c:v>1.1426500000000002</c:v>
                </c:pt>
                <c:pt idx="49">
                  <c:v>1.1398999999999999</c:v>
                </c:pt>
                <c:pt idx="50">
                  <c:v>1.1737499999999998</c:v>
                </c:pt>
                <c:pt idx="51">
                  <c:v>1.2194500000000001</c:v>
                </c:pt>
                <c:pt idx="52">
                  <c:v>1.2295500000000001</c:v>
                </c:pt>
                <c:pt idx="53">
                  <c:v>1.2594500000000002</c:v>
                </c:pt>
                <c:pt idx="54">
                  <c:v>1.3079000000000001</c:v>
                </c:pt>
                <c:pt idx="55">
                  <c:v>1.3625499999999999</c:v>
                </c:pt>
                <c:pt idx="56">
                  <c:v>1.4122500000000002</c:v>
                </c:pt>
                <c:pt idx="57">
                  <c:v>1.5431499999999998</c:v>
                </c:pt>
                <c:pt idx="58">
                  <c:v>1.5633000000000001</c:v>
                </c:pt>
                <c:pt idx="59">
                  <c:v>1.6609500000000001</c:v>
                </c:pt>
                <c:pt idx="60">
                  <c:v>1.6719999999999997</c:v>
                </c:pt>
                <c:pt idx="61">
                  <c:v>1.726</c:v>
                </c:pt>
                <c:pt idx="62">
                  <c:v>1.7809500000000003</c:v>
                </c:pt>
                <c:pt idx="63">
                  <c:v>1.9093999999999998</c:v>
                </c:pt>
                <c:pt idx="64">
                  <c:v>1.97695</c:v>
                </c:pt>
                <c:pt idx="65">
                  <c:v>2.0450499999999998</c:v>
                </c:pt>
                <c:pt idx="66">
                  <c:v>2.0749</c:v>
                </c:pt>
                <c:pt idx="67">
                  <c:v>2.0443500000000001</c:v>
                </c:pt>
                <c:pt idx="68">
                  <c:v>2.0215000000000001</c:v>
                </c:pt>
                <c:pt idx="69">
                  <c:v>1.95465</c:v>
                </c:pt>
                <c:pt idx="70">
                  <c:v>1.9526499999999998</c:v>
                </c:pt>
                <c:pt idx="71">
                  <c:v>1.9495499999999999</c:v>
                </c:pt>
                <c:pt idx="72">
                  <c:v>1.8866500000000002</c:v>
                </c:pt>
                <c:pt idx="73">
                  <c:v>1.8367999999999998</c:v>
                </c:pt>
                <c:pt idx="74">
                  <c:v>1.7382499999999999</c:v>
                </c:pt>
                <c:pt idx="75">
                  <c:v>1.78935</c:v>
                </c:pt>
                <c:pt idx="76">
                  <c:v>1.9474499999999999</c:v>
                </c:pt>
                <c:pt idx="77">
                  <c:v>2.0650500000000003</c:v>
                </c:pt>
                <c:pt idx="78">
                  <c:v>1.9840499999999999</c:v>
                </c:pt>
                <c:pt idx="79">
                  <c:v>1.8953000000000002</c:v>
                </c:pt>
                <c:pt idx="80">
                  <c:v>1.8575999999999997</c:v>
                </c:pt>
                <c:pt idx="81">
                  <c:v>1.7201500000000001</c:v>
                </c:pt>
                <c:pt idx="82">
                  <c:v>1.6426000000000003</c:v>
                </c:pt>
                <c:pt idx="83">
                  <c:v>1.65055</c:v>
                </c:pt>
                <c:pt idx="84">
                  <c:v>1.573</c:v>
                </c:pt>
                <c:pt idx="85">
                  <c:v>1.5764</c:v>
                </c:pt>
                <c:pt idx="86">
                  <c:v>1.6776</c:v>
                </c:pt>
                <c:pt idx="87">
                  <c:v>1.6860500000000003</c:v>
                </c:pt>
                <c:pt idx="88">
                  <c:v>1.4876999999999998</c:v>
                </c:pt>
                <c:pt idx="89">
                  <c:v>1.2854500000000002</c:v>
                </c:pt>
                <c:pt idx="90">
                  <c:v>1.23055</c:v>
                </c:pt>
                <c:pt idx="91">
                  <c:v>1.2381</c:v>
                </c:pt>
                <c:pt idx="92">
                  <c:v>1.19475</c:v>
                </c:pt>
                <c:pt idx="93">
                  <c:v>1.3996</c:v>
                </c:pt>
                <c:pt idx="94">
                  <c:v>1.5358499999999999</c:v>
                </c:pt>
                <c:pt idx="95">
                  <c:v>1.6873</c:v>
                </c:pt>
                <c:pt idx="96">
                  <c:v>1.6275999999999997</c:v>
                </c:pt>
                <c:pt idx="97">
                  <c:v>1.5525500000000001</c:v>
                </c:pt>
                <c:pt idx="98">
                  <c:v>1.6551</c:v>
                </c:pt>
                <c:pt idx="99">
                  <c:v>1.7611000000000003</c:v>
                </c:pt>
                <c:pt idx="100">
                  <c:v>0.79725000000000001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0.52949999999999964</c:v>
                </c:pt>
                <c:pt idx="105">
                  <c:v>1.7696999999999998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1.6640999999999999</c:v>
                </c:pt>
                <c:pt idx="110">
                  <c:v>0.84214999999999995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0.44410000000000016</c:v>
                </c:pt>
                <c:pt idx="117">
                  <c:v>1.4368500000000002</c:v>
                </c:pt>
                <c:pt idx="118">
                  <c:v>0.42425000000000002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0.83990000000000009</c:v>
                </c:pt>
                <c:pt idx="130">
                  <c:v>0.69519999999999982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0.12680000000000113</c:v>
                </c:pt>
                <c:pt idx="135">
                  <c:v>0.22029999999999994</c:v>
                </c:pt>
                <c:pt idx="136">
                  <c:v>0.29899999999999949</c:v>
                </c:pt>
                <c:pt idx="137">
                  <c:v>8.7799999999999656E-2</c:v>
                </c:pt>
                <c:pt idx="138">
                  <c:v>0.18229999999999968</c:v>
                </c:pt>
                <c:pt idx="139">
                  <c:v>0.23084999999999933</c:v>
                </c:pt>
                <c:pt idx="140">
                  <c:v>0.7663000000000002</c:v>
                </c:pt>
                <c:pt idx="141">
                  <c:v>1.2402999999999986</c:v>
                </c:pt>
                <c:pt idx="142">
                  <c:v>1.8332500000000005</c:v>
                </c:pt>
                <c:pt idx="143">
                  <c:v>2.0166999999999993</c:v>
                </c:pt>
                <c:pt idx="144">
                  <c:v>2.2968999999999999</c:v>
                </c:pt>
                <c:pt idx="145">
                  <c:v>2.0667500000000008</c:v>
                </c:pt>
                <c:pt idx="146">
                  <c:v>2.2631500000000004</c:v>
                </c:pt>
                <c:pt idx="147">
                  <c:v>2.3695499999999994</c:v>
                </c:pt>
                <c:pt idx="148">
                  <c:v>0.48869999999999969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1.1986500000000002</c:v>
                </c:pt>
                <c:pt idx="157">
                  <c:v>3.1496499999999998</c:v>
                </c:pt>
                <c:pt idx="158">
                  <c:v>2.7564500000000001</c:v>
                </c:pt>
                <c:pt idx="159">
                  <c:v>2.5749000000000004</c:v>
                </c:pt>
                <c:pt idx="160">
                  <c:v>1.7606999999999999</c:v>
                </c:pt>
                <c:pt idx="161">
                  <c:v>0.83750000000000036</c:v>
                </c:pt>
                <c:pt idx="162">
                  <c:v>0</c:v>
                </c:pt>
                <c:pt idx="163">
                  <c:v>0.76370000000000005</c:v>
                </c:pt>
                <c:pt idx="164">
                  <c:v>1.9522500000000003</c:v>
                </c:pt>
                <c:pt idx="165">
                  <c:v>2.5853999999999999</c:v>
                </c:pt>
                <c:pt idx="166">
                  <c:v>2.9298500000000001</c:v>
                </c:pt>
                <c:pt idx="167">
                  <c:v>3.5109500000000002</c:v>
                </c:pt>
                <c:pt idx="168">
                  <c:v>3.45865</c:v>
                </c:pt>
                <c:pt idx="169">
                  <c:v>3.4556000000000004</c:v>
                </c:pt>
                <c:pt idx="170">
                  <c:v>3.3628999999999998</c:v>
                </c:pt>
                <c:pt idx="171">
                  <c:v>3.3038000000000007</c:v>
                </c:pt>
                <c:pt idx="172">
                  <c:v>3.472</c:v>
                </c:pt>
                <c:pt idx="173">
                  <c:v>3.8896500000000001</c:v>
                </c:pt>
                <c:pt idx="174">
                  <c:v>4.22715</c:v>
                </c:pt>
                <c:pt idx="175">
                  <c:v>4.5020000000000007</c:v>
                </c:pt>
                <c:pt idx="176">
                  <c:v>4.5342500000000001</c:v>
                </c:pt>
                <c:pt idx="177">
                  <c:v>4.5516500000000004</c:v>
                </c:pt>
                <c:pt idx="178">
                  <c:v>4.1940999999999997</c:v>
                </c:pt>
                <c:pt idx="179">
                  <c:v>4.0067000000000004</c:v>
                </c:pt>
                <c:pt idx="180">
                  <c:v>4.3228000000000009</c:v>
                </c:pt>
                <c:pt idx="181">
                  <c:v>4.5600500000000004</c:v>
                </c:pt>
                <c:pt idx="182">
                  <c:v>4.7036999999999995</c:v>
                </c:pt>
                <c:pt idx="183">
                  <c:v>4.8431999999999995</c:v>
                </c:pt>
                <c:pt idx="184">
                  <c:v>4.9475499999999997</c:v>
                </c:pt>
                <c:pt idx="185">
                  <c:v>5.0749500000000003</c:v>
                </c:pt>
                <c:pt idx="186">
                  <c:v>5.1336999999999993</c:v>
                </c:pt>
                <c:pt idx="187">
                  <c:v>5.188699999999999</c:v>
                </c:pt>
                <c:pt idx="188">
                  <c:v>5.16275</c:v>
                </c:pt>
                <c:pt idx="189">
                  <c:v>5.1565499999999993</c:v>
                </c:pt>
                <c:pt idx="190">
                  <c:v>5.1257999999999999</c:v>
                </c:pt>
                <c:pt idx="191">
                  <c:v>5.0837000000000003</c:v>
                </c:pt>
                <c:pt idx="192">
                  <c:v>5.0446</c:v>
                </c:pt>
                <c:pt idx="193">
                  <c:v>5.0885499999999997</c:v>
                </c:pt>
                <c:pt idx="194">
                  <c:v>5.1544000000000008</c:v>
                </c:pt>
                <c:pt idx="195">
                  <c:v>5.1303999999999998</c:v>
                </c:pt>
                <c:pt idx="196">
                  <c:v>5.1284999999999998</c:v>
                </c:pt>
                <c:pt idx="197">
                  <c:v>5.0927500000000006</c:v>
                </c:pt>
                <c:pt idx="198">
                  <c:v>5.0428999999999995</c:v>
                </c:pt>
                <c:pt idx="199">
                  <c:v>5.01755</c:v>
                </c:pt>
                <c:pt idx="200">
                  <c:v>5.1066500000000001</c:v>
                </c:pt>
                <c:pt idx="201">
                  <c:v>5.1353000000000009</c:v>
                </c:pt>
                <c:pt idx="202">
                  <c:v>4.8739500000000007</c:v>
                </c:pt>
                <c:pt idx="203">
                  <c:v>4.5548999999999999</c:v>
                </c:pt>
                <c:pt idx="204">
                  <c:v>4.3128500000000001</c:v>
                </c:pt>
                <c:pt idx="205">
                  <c:v>4.46875</c:v>
                </c:pt>
                <c:pt idx="206">
                  <c:v>4.6614499999999994</c:v>
                </c:pt>
                <c:pt idx="207">
                  <c:v>4.9923000000000002</c:v>
                </c:pt>
                <c:pt idx="208">
                  <c:v>5.3468499999999999</c:v>
                </c:pt>
                <c:pt idx="209">
                  <c:v>5.6547499999999999</c:v>
                </c:pt>
                <c:pt idx="210">
                  <c:v>5.5990000000000002</c:v>
                </c:pt>
                <c:pt idx="211">
                  <c:v>5.5661499999999995</c:v>
                </c:pt>
                <c:pt idx="212">
                  <c:v>5.4375499999999999</c:v>
                </c:pt>
                <c:pt idx="213">
                  <c:v>5.2388499999999993</c:v>
                </c:pt>
                <c:pt idx="214">
                  <c:v>5.1360000000000001</c:v>
                </c:pt>
                <c:pt idx="215">
                  <c:v>4.9823000000000004</c:v>
                </c:pt>
                <c:pt idx="216">
                  <c:v>4.8408499999999997</c:v>
                </c:pt>
                <c:pt idx="217">
                  <c:v>3.7812000000000001</c:v>
                </c:pt>
                <c:pt idx="218">
                  <c:v>2.63225</c:v>
                </c:pt>
                <c:pt idx="219">
                  <c:v>2.5422499999999997</c:v>
                </c:pt>
                <c:pt idx="220">
                  <c:v>3.6698999999999997</c:v>
                </c:pt>
                <c:pt idx="221">
                  <c:v>5.0082500000000003</c:v>
                </c:pt>
                <c:pt idx="222">
                  <c:v>4.9133500000000003</c:v>
                </c:pt>
                <c:pt idx="223">
                  <c:v>4.8029999999999999</c:v>
                </c:pt>
                <c:pt idx="224">
                  <c:v>4.9135999999999997</c:v>
                </c:pt>
                <c:pt idx="225">
                  <c:v>5.1295000000000002</c:v>
                </c:pt>
                <c:pt idx="226">
                  <c:v>5.3004499999999997</c:v>
                </c:pt>
                <c:pt idx="227">
                  <c:v>4.6472499999999997</c:v>
                </c:pt>
                <c:pt idx="228">
                  <c:v>3.8725999999999985</c:v>
                </c:pt>
                <c:pt idx="229">
                  <c:v>3.4429499999999997</c:v>
                </c:pt>
                <c:pt idx="230">
                  <c:v>3.7281000000000004</c:v>
                </c:pt>
                <c:pt idx="231">
                  <c:v>4.0474499999999995</c:v>
                </c:pt>
                <c:pt idx="232">
                  <c:v>5.6021500000000009</c:v>
                </c:pt>
                <c:pt idx="233">
                  <c:v>7.3554499999999994</c:v>
                </c:pt>
                <c:pt idx="234">
                  <c:v>8.6957500000000003</c:v>
                </c:pt>
                <c:pt idx="235">
                  <c:v>7.9657</c:v>
                </c:pt>
                <c:pt idx="236">
                  <c:v>7.3034499999999998</c:v>
                </c:pt>
                <c:pt idx="237">
                  <c:v>7.4852000000000007</c:v>
                </c:pt>
                <c:pt idx="238">
                  <c:v>7.7524000000000006</c:v>
                </c:pt>
                <c:pt idx="239">
                  <c:v>8.9478999999999989</c:v>
                </c:pt>
                <c:pt idx="240">
                  <c:v>9.0146999999999995</c:v>
                </c:pt>
                <c:pt idx="241">
                  <c:v>9.8561999999999994</c:v>
                </c:pt>
                <c:pt idx="242">
                  <c:v>9.6890999999999998</c:v>
                </c:pt>
                <c:pt idx="243">
                  <c:v>9.4102999999999994</c:v>
                </c:pt>
                <c:pt idx="244">
                  <c:v>9.2334999999999994</c:v>
                </c:pt>
                <c:pt idx="245">
                  <c:v>10.145200000000001</c:v>
                </c:pt>
                <c:pt idx="246">
                  <c:v>10.961499999999999</c:v>
                </c:pt>
                <c:pt idx="247">
                  <c:v>10.1882</c:v>
                </c:pt>
                <c:pt idx="248">
                  <c:v>8.9719999999999995</c:v>
                </c:pt>
                <c:pt idx="249">
                  <c:v>8.3894000000000002</c:v>
                </c:pt>
                <c:pt idx="250">
                  <c:v>8.7498000000000005</c:v>
                </c:pt>
                <c:pt idx="251">
                  <c:v>8.9817999999999998</c:v>
                </c:pt>
                <c:pt idx="252">
                  <c:v>9.2104999999999997</c:v>
                </c:pt>
                <c:pt idx="253">
                  <c:v>9.3941999999999997</c:v>
                </c:pt>
                <c:pt idx="254">
                  <c:v>9.6306999999999992</c:v>
                </c:pt>
                <c:pt idx="255">
                  <c:v>9.4670000000000005</c:v>
                </c:pt>
                <c:pt idx="256">
                  <c:v>9.3393999999999995</c:v>
                </c:pt>
                <c:pt idx="257">
                  <c:v>8.9169</c:v>
                </c:pt>
                <c:pt idx="258">
                  <c:v>8.3025000000000002</c:v>
                </c:pt>
                <c:pt idx="259">
                  <c:v>7.7331000000000003</c:v>
                </c:pt>
                <c:pt idx="260">
                  <c:v>7.8512000000000004</c:v>
                </c:pt>
                <c:pt idx="261">
                  <c:v>7.9385000000000003</c:v>
                </c:pt>
                <c:pt idx="262">
                  <c:v>7.3404999999999996</c:v>
                </c:pt>
                <c:pt idx="263">
                  <c:v>6.638399999999999</c:v>
                </c:pt>
                <c:pt idx="264">
                  <c:v>6.0031999999999996</c:v>
                </c:pt>
                <c:pt idx="265">
                  <c:v>5.4032</c:v>
                </c:pt>
                <c:pt idx="266">
                  <c:v>4.745099999999999</c:v>
                </c:pt>
                <c:pt idx="267">
                  <c:v>5.4309000000000003</c:v>
                </c:pt>
                <c:pt idx="268">
                  <c:v>6.0937999999999999</c:v>
                </c:pt>
                <c:pt idx="269">
                  <c:v>7.3996999999999993</c:v>
                </c:pt>
                <c:pt idx="270">
                  <c:v>8.0280999999999985</c:v>
                </c:pt>
                <c:pt idx="271">
                  <c:v>8.3132999999999999</c:v>
                </c:pt>
                <c:pt idx="272">
                  <c:v>8.5244</c:v>
                </c:pt>
                <c:pt idx="273">
                  <c:v>8.716899999999999</c:v>
                </c:pt>
                <c:pt idx="274">
                  <c:v>8.8880499999999998</c:v>
                </c:pt>
                <c:pt idx="275">
                  <c:v>8.9512</c:v>
                </c:pt>
                <c:pt idx="276">
                  <c:v>8.8229499999999987</c:v>
                </c:pt>
                <c:pt idx="277">
                  <c:v>8.7295499999999997</c:v>
                </c:pt>
                <c:pt idx="278">
                  <c:v>8.6518499999999996</c:v>
                </c:pt>
                <c:pt idx="279">
                  <c:v>8.6229500000000012</c:v>
                </c:pt>
                <c:pt idx="280">
                  <c:v>8.5924000000000014</c:v>
                </c:pt>
                <c:pt idx="281">
                  <c:v>8.530149999999999</c:v>
                </c:pt>
                <c:pt idx="282">
                  <c:v>8.4350500000000004</c:v>
                </c:pt>
                <c:pt idx="283">
                  <c:v>8.2933000000000003</c:v>
                </c:pt>
                <c:pt idx="284">
                  <c:v>8.4675499999999992</c:v>
                </c:pt>
                <c:pt idx="285">
                  <c:v>8.3811999999999998</c:v>
                </c:pt>
                <c:pt idx="286">
                  <c:v>8.1607500000000002</c:v>
                </c:pt>
                <c:pt idx="287">
                  <c:v>8.0469000000000008</c:v>
                </c:pt>
                <c:pt idx="288">
                  <c:v>7.9377999999999993</c:v>
                </c:pt>
                <c:pt idx="289">
                  <c:v>7.9136999999999995</c:v>
                </c:pt>
                <c:pt idx="290">
                  <c:v>7.8609999999999989</c:v>
                </c:pt>
                <c:pt idx="291">
                  <c:v>7.5938500000000007</c:v>
                </c:pt>
                <c:pt idx="292">
                  <c:v>7.7820500000000008</c:v>
                </c:pt>
                <c:pt idx="293">
                  <c:v>7.9962499999999999</c:v>
                </c:pt>
                <c:pt idx="294">
                  <c:v>8.0633499999999998</c:v>
                </c:pt>
                <c:pt idx="295">
                  <c:v>7.8677500000000009</c:v>
                </c:pt>
                <c:pt idx="296">
                  <c:v>7.6408499999999995</c:v>
                </c:pt>
                <c:pt idx="297">
                  <c:v>7.3445499999999999</c:v>
                </c:pt>
                <c:pt idx="298">
                  <c:v>7.0673000000000012</c:v>
                </c:pt>
                <c:pt idx="299">
                  <c:v>7.1235000000000008</c:v>
                </c:pt>
                <c:pt idx="300">
                  <c:v>7.0310500000000005</c:v>
                </c:pt>
                <c:pt idx="301">
                  <c:v>6.6815999999999995</c:v>
                </c:pt>
                <c:pt idx="302">
                  <c:v>6.6016499999999994</c:v>
                </c:pt>
                <c:pt idx="303">
                  <c:v>6.5766</c:v>
                </c:pt>
                <c:pt idx="304">
                  <c:v>6.6494000000000009</c:v>
                </c:pt>
                <c:pt idx="305">
                  <c:v>6.5758000000000001</c:v>
                </c:pt>
                <c:pt idx="306">
                  <c:v>6.5584499999999997</c:v>
                </c:pt>
                <c:pt idx="307">
                  <c:v>6.4372000000000007</c:v>
                </c:pt>
                <c:pt idx="308">
                  <c:v>6.2743000000000002</c:v>
                </c:pt>
                <c:pt idx="309">
                  <c:v>6.1024999999999991</c:v>
                </c:pt>
                <c:pt idx="310">
                  <c:v>5.9979499999999994</c:v>
                </c:pt>
                <c:pt idx="311">
                  <c:v>4.7731500000000011</c:v>
                </c:pt>
                <c:pt idx="312">
                  <c:v>4.2888999999999999</c:v>
                </c:pt>
                <c:pt idx="313">
                  <c:v>3.9965499999999992</c:v>
                </c:pt>
                <c:pt idx="314">
                  <c:v>4.9802999999999997</c:v>
                </c:pt>
              </c:numCache>
            </c:numRef>
          </c:xVal>
          <c:yVal>
            <c:numRef>
              <c:f>'ej 5.2'!$A$9:$A$341</c:f>
              <c:numCache>
                <c:formatCode>0.00</c:formatCode>
                <c:ptCount val="333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0.39999999999999997</c:v>
                </c:pt>
                <c:pt idx="9">
                  <c:v>0.44999999999999996</c:v>
                </c:pt>
                <c:pt idx="10">
                  <c:v>0.49999999999999994</c:v>
                </c:pt>
                <c:pt idx="11">
                  <c:v>0.54999999999999993</c:v>
                </c:pt>
                <c:pt idx="12">
                  <c:v>0.6</c:v>
                </c:pt>
                <c:pt idx="13">
                  <c:v>0.65</c:v>
                </c:pt>
                <c:pt idx="14">
                  <c:v>0.70000000000000007</c:v>
                </c:pt>
                <c:pt idx="15">
                  <c:v>0.75000000000000011</c:v>
                </c:pt>
                <c:pt idx="16">
                  <c:v>0.80000000000000016</c:v>
                </c:pt>
                <c:pt idx="17">
                  <c:v>0.8500000000000002</c:v>
                </c:pt>
                <c:pt idx="18">
                  <c:v>0.90000000000000024</c:v>
                </c:pt>
                <c:pt idx="19">
                  <c:v>0.95000000000000029</c:v>
                </c:pt>
                <c:pt idx="20">
                  <c:v>1.0000000000000002</c:v>
                </c:pt>
                <c:pt idx="21">
                  <c:v>1.0500000000000003</c:v>
                </c:pt>
                <c:pt idx="22">
                  <c:v>1.1000000000000003</c:v>
                </c:pt>
                <c:pt idx="23">
                  <c:v>1.1500000000000004</c:v>
                </c:pt>
                <c:pt idx="24">
                  <c:v>1.2000000000000004</c:v>
                </c:pt>
                <c:pt idx="25">
                  <c:v>1.2500000000000004</c:v>
                </c:pt>
                <c:pt idx="26">
                  <c:v>1.3000000000000005</c:v>
                </c:pt>
                <c:pt idx="27">
                  <c:v>1.3500000000000005</c:v>
                </c:pt>
                <c:pt idx="28">
                  <c:v>1.4000000000000006</c:v>
                </c:pt>
                <c:pt idx="29">
                  <c:v>1.4500000000000006</c:v>
                </c:pt>
                <c:pt idx="30">
                  <c:v>1.5000000000000007</c:v>
                </c:pt>
                <c:pt idx="31">
                  <c:v>1.5500000000000007</c:v>
                </c:pt>
                <c:pt idx="32">
                  <c:v>1.6000000000000008</c:v>
                </c:pt>
                <c:pt idx="33">
                  <c:v>1.6500000000000008</c:v>
                </c:pt>
                <c:pt idx="34">
                  <c:v>1.7000000000000008</c:v>
                </c:pt>
                <c:pt idx="35">
                  <c:v>1.7500000000000009</c:v>
                </c:pt>
                <c:pt idx="36">
                  <c:v>1.8000000000000009</c:v>
                </c:pt>
                <c:pt idx="37">
                  <c:v>1.850000000000001</c:v>
                </c:pt>
                <c:pt idx="38">
                  <c:v>1.900000000000001</c:v>
                </c:pt>
                <c:pt idx="39">
                  <c:v>1.9500000000000011</c:v>
                </c:pt>
                <c:pt idx="40">
                  <c:v>2.0000000000000009</c:v>
                </c:pt>
                <c:pt idx="41">
                  <c:v>2.0500000000000007</c:v>
                </c:pt>
                <c:pt idx="42">
                  <c:v>2.1000000000000005</c:v>
                </c:pt>
                <c:pt idx="43">
                  <c:v>2.1500000000000004</c:v>
                </c:pt>
                <c:pt idx="44">
                  <c:v>2.2000000000000002</c:v>
                </c:pt>
                <c:pt idx="45">
                  <c:v>2.25</c:v>
                </c:pt>
                <c:pt idx="46">
                  <c:v>2.2999999999999998</c:v>
                </c:pt>
                <c:pt idx="47">
                  <c:v>2.3499999999999996</c:v>
                </c:pt>
                <c:pt idx="48">
                  <c:v>2.3999999999999995</c:v>
                </c:pt>
                <c:pt idx="49">
                  <c:v>2.4499999999999993</c:v>
                </c:pt>
                <c:pt idx="50">
                  <c:v>2.4999999999999991</c:v>
                </c:pt>
                <c:pt idx="51">
                  <c:v>2.5499999999999989</c:v>
                </c:pt>
                <c:pt idx="52">
                  <c:v>2.5999999999999988</c:v>
                </c:pt>
                <c:pt idx="53">
                  <c:v>2.6499999999999986</c:v>
                </c:pt>
                <c:pt idx="54">
                  <c:v>2.6999999999999984</c:v>
                </c:pt>
                <c:pt idx="55">
                  <c:v>2.7499999999999982</c:v>
                </c:pt>
                <c:pt idx="56">
                  <c:v>2.799999999999998</c:v>
                </c:pt>
                <c:pt idx="57">
                  <c:v>2.8499999999999979</c:v>
                </c:pt>
                <c:pt idx="58">
                  <c:v>2.8999999999999977</c:v>
                </c:pt>
                <c:pt idx="59">
                  <c:v>2.9499999999999975</c:v>
                </c:pt>
                <c:pt idx="60">
                  <c:v>2.9999999999999973</c:v>
                </c:pt>
                <c:pt idx="61">
                  <c:v>3.0499999999999972</c:v>
                </c:pt>
                <c:pt idx="62">
                  <c:v>3.099999999999997</c:v>
                </c:pt>
                <c:pt idx="63">
                  <c:v>3.1499999999999968</c:v>
                </c:pt>
                <c:pt idx="64">
                  <c:v>3.1999999999999966</c:v>
                </c:pt>
                <c:pt idx="65">
                  <c:v>3.2499999999999964</c:v>
                </c:pt>
                <c:pt idx="66">
                  <c:v>3.2999999999999963</c:v>
                </c:pt>
                <c:pt idx="67">
                  <c:v>3.3499999999999961</c:v>
                </c:pt>
                <c:pt idx="68">
                  <c:v>3.3999999999999959</c:v>
                </c:pt>
                <c:pt idx="69">
                  <c:v>3.4499999999999957</c:v>
                </c:pt>
                <c:pt idx="70">
                  <c:v>3.4999999999999956</c:v>
                </c:pt>
                <c:pt idx="71">
                  <c:v>3.5499999999999954</c:v>
                </c:pt>
                <c:pt idx="72">
                  <c:v>3.5999999999999952</c:v>
                </c:pt>
                <c:pt idx="73">
                  <c:v>3.649999999999995</c:v>
                </c:pt>
                <c:pt idx="74">
                  <c:v>3.6999999999999948</c:v>
                </c:pt>
                <c:pt idx="75">
                  <c:v>3.7499999999999947</c:v>
                </c:pt>
                <c:pt idx="76">
                  <c:v>3.7999999999999945</c:v>
                </c:pt>
                <c:pt idx="77">
                  <c:v>3.8499999999999943</c:v>
                </c:pt>
                <c:pt idx="78">
                  <c:v>3.8999999999999941</c:v>
                </c:pt>
                <c:pt idx="79">
                  <c:v>3.949999999999994</c:v>
                </c:pt>
                <c:pt idx="80">
                  <c:v>3.9999999999999938</c:v>
                </c:pt>
                <c:pt idx="81">
                  <c:v>4.0499999999999936</c:v>
                </c:pt>
                <c:pt idx="82">
                  <c:v>4.0999999999999934</c:v>
                </c:pt>
                <c:pt idx="83">
                  <c:v>4.1499999999999932</c:v>
                </c:pt>
                <c:pt idx="84">
                  <c:v>4.1999999999999931</c:v>
                </c:pt>
                <c:pt idx="85">
                  <c:v>4.2499999999999929</c:v>
                </c:pt>
                <c:pt idx="86">
                  <c:v>4.2999999999999927</c:v>
                </c:pt>
                <c:pt idx="87">
                  <c:v>4.3499999999999925</c:v>
                </c:pt>
                <c:pt idx="88">
                  <c:v>4.3999999999999924</c:v>
                </c:pt>
                <c:pt idx="89">
                  <c:v>4.4499999999999922</c:v>
                </c:pt>
                <c:pt idx="90">
                  <c:v>4.499999999999992</c:v>
                </c:pt>
                <c:pt idx="91">
                  <c:v>4.5499999999999918</c:v>
                </c:pt>
                <c:pt idx="92">
                  <c:v>4.5999999999999917</c:v>
                </c:pt>
                <c:pt idx="93">
                  <c:v>4.6499999999999915</c:v>
                </c:pt>
                <c:pt idx="94">
                  <c:v>4.6999999999999913</c:v>
                </c:pt>
                <c:pt idx="95">
                  <c:v>4.7499999999999911</c:v>
                </c:pt>
                <c:pt idx="96">
                  <c:v>4.7999999999999909</c:v>
                </c:pt>
                <c:pt idx="97">
                  <c:v>4.8499999999999908</c:v>
                </c:pt>
                <c:pt idx="98">
                  <c:v>4.8999999999999906</c:v>
                </c:pt>
                <c:pt idx="99">
                  <c:v>4.9499999999999904</c:v>
                </c:pt>
                <c:pt idx="100">
                  <c:v>4.9999999999999902</c:v>
                </c:pt>
                <c:pt idx="101">
                  <c:v>5.0499999999999901</c:v>
                </c:pt>
                <c:pt idx="102">
                  <c:v>5.0999999999999899</c:v>
                </c:pt>
                <c:pt idx="103">
                  <c:v>5.1499999999999897</c:v>
                </c:pt>
                <c:pt idx="104">
                  <c:v>5.1999999999999895</c:v>
                </c:pt>
                <c:pt idx="105">
                  <c:v>5.2499999999999893</c:v>
                </c:pt>
                <c:pt idx="106">
                  <c:v>5.2999999999999892</c:v>
                </c:pt>
                <c:pt idx="107">
                  <c:v>5.349999999999989</c:v>
                </c:pt>
                <c:pt idx="108">
                  <c:v>5.3999999999999888</c:v>
                </c:pt>
                <c:pt idx="109">
                  <c:v>5.4499999999999886</c:v>
                </c:pt>
                <c:pt idx="110">
                  <c:v>5.4999999999999885</c:v>
                </c:pt>
                <c:pt idx="111">
                  <c:v>5.5499999999999883</c:v>
                </c:pt>
                <c:pt idx="112">
                  <c:v>5.5999999999999881</c:v>
                </c:pt>
                <c:pt idx="113">
                  <c:v>5.6499999999999879</c:v>
                </c:pt>
                <c:pt idx="114">
                  <c:v>5.6999999999999877</c:v>
                </c:pt>
                <c:pt idx="115">
                  <c:v>5.7499999999999876</c:v>
                </c:pt>
                <c:pt idx="116">
                  <c:v>5.7999999999999874</c:v>
                </c:pt>
                <c:pt idx="117">
                  <c:v>5.8499999999999872</c:v>
                </c:pt>
                <c:pt idx="118">
                  <c:v>5.899999999999987</c:v>
                </c:pt>
                <c:pt idx="119">
                  <c:v>5.9499999999999869</c:v>
                </c:pt>
                <c:pt idx="120">
                  <c:v>5.9999999999999867</c:v>
                </c:pt>
                <c:pt idx="121">
                  <c:v>6.0499999999999865</c:v>
                </c:pt>
                <c:pt idx="122">
                  <c:v>6.0999999999999863</c:v>
                </c:pt>
                <c:pt idx="123">
                  <c:v>6.1499999999999861</c:v>
                </c:pt>
                <c:pt idx="124">
                  <c:v>6.199999999999986</c:v>
                </c:pt>
                <c:pt idx="125">
                  <c:v>6.2499999999999858</c:v>
                </c:pt>
                <c:pt idx="126">
                  <c:v>6.2999999999999856</c:v>
                </c:pt>
                <c:pt idx="127">
                  <c:v>6.3499999999999854</c:v>
                </c:pt>
                <c:pt idx="128">
                  <c:v>6.3999999999999853</c:v>
                </c:pt>
                <c:pt idx="129">
                  <c:v>6.4499999999999851</c:v>
                </c:pt>
                <c:pt idx="130">
                  <c:v>6.4999999999999849</c:v>
                </c:pt>
                <c:pt idx="131">
                  <c:v>6.5499999999999847</c:v>
                </c:pt>
                <c:pt idx="132">
                  <c:v>6.5999999999999845</c:v>
                </c:pt>
                <c:pt idx="133">
                  <c:v>6.6499999999999844</c:v>
                </c:pt>
                <c:pt idx="134">
                  <c:v>6.6999999999999842</c:v>
                </c:pt>
                <c:pt idx="135">
                  <c:v>6.749999999999984</c:v>
                </c:pt>
                <c:pt idx="136">
                  <c:v>6.7999999999999838</c:v>
                </c:pt>
                <c:pt idx="137">
                  <c:v>6.8499999999999837</c:v>
                </c:pt>
                <c:pt idx="138">
                  <c:v>6.8999999999999835</c:v>
                </c:pt>
                <c:pt idx="139">
                  <c:v>6.9499999999999833</c:v>
                </c:pt>
                <c:pt idx="140">
                  <c:v>6.9999999999999831</c:v>
                </c:pt>
                <c:pt idx="141">
                  <c:v>7.0499999999999829</c:v>
                </c:pt>
                <c:pt idx="142">
                  <c:v>7.0999999999999828</c:v>
                </c:pt>
                <c:pt idx="143">
                  <c:v>7.1499999999999826</c:v>
                </c:pt>
                <c:pt idx="144">
                  <c:v>7.1999999999999824</c:v>
                </c:pt>
                <c:pt idx="145">
                  <c:v>7.2499999999999822</c:v>
                </c:pt>
                <c:pt idx="146">
                  <c:v>7.2999999999999821</c:v>
                </c:pt>
                <c:pt idx="147">
                  <c:v>7.3499999999999819</c:v>
                </c:pt>
                <c:pt idx="148">
                  <c:v>7.3999999999999817</c:v>
                </c:pt>
                <c:pt idx="149">
                  <c:v>7.4499999999999815</c:v>
                </c:pt>
                <c:pt idx="150">
                  <c:v>7.4999999999999813</c:v>
                </c:pt>
                <c:pt idx="151">
                  <c:v>7.5499999999999812</c:v>
                </c:pt>
                <c:pt idx="152">
                  <c:v>7.599999999999981</c:v>
                </c:pt>
                <c:pt idx="153">
                  <c:v>7.6499999999999808</c:v>
                </c:pt>
                <c:pt idx="154">
                  <c:v>7.6999999999999806</c:v>
                </c:pt>
                <c:pt idx="155">
                  <c:v>7.7499999999999805</c:v>
                </c:pt>
                <c:pt idx="156">
                  <c:v>7.7999999999999803</c:v>
                </c:pt>
                <c:pt idx="157">
                  <c:v>7.8499999999999801</c:v>
                </c:pt>
                <c:pt idx="158">
                  <c:v>7.8999999999999799</c:v>
                </c:pt>
                <c:pt idx="159">
                  <c:v>7.9499999999999797</c:v>
                </c:pt>
                <c:pt idx="160">
                  <c:v>7.9999999999999796</c:v>
                </c:pt>
                <c:pt idx="161">
                  <c:v>8.0499999999999794</c:v>
                </c:pt>
                <c:pt idx="162">
                  <c:v>8.0999999999999801</c:v>
                </c:pt>
                <c:pt idx="163">
                  <c:v>8.1499999999999808</c:v>
                </c:pt>
                <c:pt idx="164">
                  <c:v>8.1999999999999815</c:v>
                </c:pt>
                <c:pt idx="165">
                  <c:v>8.2499999999999822</c:v>
                </c:pt>
                <c:pt idx="166">
                  <c:v>8.2999999999999829</c:v>
                </c:pt>
                <c:pt idx="167">
                  <c:v>8.3499999999999837</c:v>
                </c:pt>
                <c:pt idx="168">
                  <c:v>8.3999999999999844</c:v>
                </c:pt>
                <c:pt idx="169">
                  <c:v>8.4499999999999851</c:v>
                </c:pt>
                <c:pt idx="170">
                  <c:v>8.4999999999999858</c:v>
                </c:pt>
                <c:pt idx="171">
                  <c:v>8.5499999999999865</c:v>
                </c:pt>
                <c:pt idx="172">
                  <c:v>8.5999999999999872</c:v>
                </c:pt>
                <c:pt idx="173">
                  <c:v>8.6499999999999879</c:v>
                </c:pt>
                <c:pt idx="174">
                  <c:v>8.6999999999999886</c:v>
                </c:pt>
                <c:pt idx="175">
                  <c:v>8.7499999999999893</c:v>
                </c:pt>
                <c:pt idx="176">
                  <c:v>8.7999999999999901</c:v>
                </c:pt>
                <c:pt idx="177">
                  <c:v>8.8499999999999908</c:v>
                </c:pt>
                <c:pt idx="178">
                  <c:v>8.8999999999999915</c:v>
                </c:pt>
                <c:pt idx="179">
                  <c:v>8.9499999999999922</c:v>
                </c:pt>
                <c:pt idx="180">
                  <c:v>8.9999999999999929</c:v>
                </c:pt>
                <c:pt idx="181">
                  <c:v>9.0499999999999936</c:v>
                </c:pt>
                <c:pt idx="182">
                  <c:v>9.0999999999999943</c:v>
                </c:pt>
                <c:pt idx="183">
                  <c:v>9.149999999999995</c:v>
                </c:pt>
                <c:pt idx="184">
                  <c:v>9.1999999999999957</c:v>
                </c:pt>
                <c:pt idx="185">
                  <c:v>9.2499999999999964</c:v>
                </c:pt>
                <c:pt idx="186">
                  <c:v>9.2999999999999972</c:v>
                </c:pt>
                <c:pt idx="187">
                  <c:v>9.3499999999999979</c:v>
                </c:pt>
                <c:pt idx="188">
                  <c:v>9.3999999999999986</c:v>
                </c:pt>
                <c:pt idx="189">
                  <c:v>9.4499999999999993</c:v>
                </c:pt>
                <c:pt idx="190">
                  <c:v>9.5</c:v>
                </c:pt>
                <c:pt idx="191">
                  <c:v>9.5500000000000007</c:v>
                </c:pt>
                <c:pt idx="192">
                  <c:v>9.6000000000000014</c:v>
                </c:pt>
                <c:pt idx="193">
                  <c:v>9.6500000000000021</c:v>
                </c:pt>
                <c:pt idx="194">
                  <c:v>9.7000000000000028</c:v>
                </c:pt>
                <c:pt idx="195">
                  <c:v>9.7500000000000036</c:v>
                </c:pt>
                <c:pt idx="196">
                  <c:v>9.8000000000000043</c:v>
                </c:pt>
                <c:pt idx="197">
                  <c:v>9.850000000000005</c:v>
                </c:pt>
                <c:pt idx="198">
                  <c:v>9.9000000000000057</c:v>
                </c:pt>
                <c:pt idx="199">
                  <c:v>9.9500000000000064</c:v>
                </c:pt>
                <c:pt idx="200">
                  <c:v>10.000000000000007</c:v>
                </c:pt>
                <c:pt idx="201">
                  <c:v>10.050000000000008</c:v>
                </c:pt>
                <c:pt idx="202">
                  <c:v>10.100000000000009</c:v>
                </c:pt>
                <c:pt idx="203">
                  <c:v>10.150000000000009</c:v>
                </c:pt>
                <c:pt idx="204">
                  <c:v>10.20000000000001</c:v>
                </c:pt>
                <c:pt idx="205">
                  <c:v>10.250000000000011</c:v>
                </c:pt>
                <c:pt idx="206">
                  <c:v>10.300000000000011</c:v>
                </c:pt>
                <c:pt idx="207">
                  <c:v>10.350000000000012</c:v>
                </c:pt>
                <c:pt idx="208">
                  <c:v>10.400000000000013</c:v>
                </c:pt>
                <c:pt idx="209">
                  <c:v>10.450000000000014</c:v>
                </c:pt>
                <c:pt idx="210">
                  <c:v>10.500000000000014</c:v>
                </c:pt>
                <c:pt idx="211">
                  <c:v>10.550000000000015</c:v>
                </c:pt>
                <c:pt idx="212">
                  <c:v>10.600000000000016</c:v>
                </c:pt>
                <c:pt idx="213">
                  <c:v>10.650000000000016</c:v>
                </c:pt>
                <c:pt idx="214">
                  <c:v>10.700000000000017</c:v>
                </c:pt>
                <c:pt idx="215">
                  <c:v>10.750000000000018</c:v>
                </c:pt>
                <c:pt idx="216">
                  <c:v>10.800000000000018</c:v>
                </c:pt>
                <c:pt idx="217">
                  <c:v>10.850000000000019</c:v>
                </c:pt>
                <c:pt idx="218">
                  <c:v>10.90000000000002</c:v>
                </c:pt>
                <c:pt idx="219">
                  <c:v>10.950000000000021</c:v>
                </c:pt>
                <c:pt idx="220">
                  <c:v>11.000000000000021</c:v>
                </c:pt>
                <c:pt idx="221">
                  <c:v>11.050000000000022</c:v>
                </c:pt>
                <c:pt idx="222">
                  <c:v>11.100000000000023</c:v>
                </c:pt>
                <c:pt idx="223">
                  <c:v>11.150000000000023</c:v>
                </c:pt>
                <c:pt idx="224">
                  <c:v>11.200000000000024</c:v>
                </c:pt>
                <c:pt idx="225">
                  <c:v>11.250000000000025</c:v>
                </c:pt>
                <c:pt idx="226">
                  <c:v>11.300000000000026</c:v>
                </c:pt>
                <c:pt idx="227">
                  <c:v>11.350000000000026</c:v>
                </c:pt>
                <c:pt idx="228">
                  <c:v>11.400000000000027</c:v>
                </c:pt>
                <c:pt idx="229">
                  <c:v>11.450000000000028</c:v>
                </c:pt>
                <c:pt idx="230">
                  <c:v>11.500000000000028</c:v>
                </c:pt>
                <c:pt idx="231">
                  <c:v>11.550000000000029</c:v>
                </c:pt>
                <c:pt idx="232">
                  <c:v>11.60000000000003</c:v>
                </c:pt>
                <c:pt idx="233">
                  <c:v>11.650000000000031</c:v>
                </c:pt>
                <c:pt idx="234">
                  <c:v>11.700000000000031</c:v>
                </c:pt>
                <c:pt idx="235">
                  <c:v>11.750000000000032</c:v>
                </c:pt>
                <c:pt idx="236">
                  <c:v>11.800000000000033</c:v>
                </c:pt>
                <c:pt idx="237">
                  <c:v>11.850000000000033</c:v>
                </c:pt>
                <c:pt idx="238">
                  <c:v>11.900000000000034</c:v>
                </c:pt>
                <c:pt idx="239">
                  <c:v>11.950000000000035</c:v>
                </c:pt>
                <c:pt idx="240">
                  <c:v>12.000000000000036</c:v>
                </c:pt>
                <c:pt idx="241">
                  <c:v>12.050000000000036</c:v>
                </c:pt>
                <c:pt idx="242">
                  <c:v>12.100000000000037</c:v>
                </c:pt>
                <c:pt idx="243">
                  <c:v>12.150000000000038</c:v>
                </c:pt>
                <c:pt idx="244">
                  <c:v>12.200000000000038</c:v>
                </c:pt>
                <c:pt idx="245">
                  <c:v>12.250000000000039</c:v>
                </c:pt>
                <c:pt idx="246">
                  <c:v>12.30000000000004</c:v>
                </c:pt>
                <c:pt idx="247">
                  <c:v>12.350000000000041</c:v>
                </c:pt>
                <c:pt idx="248">
                  <c:v>12.400000000000041</c:v>
                </c:pt>
                <c:pt idx="249">
                  <c:v>12.450000000000042</c:v>
                </c:pt>
                <c:pt idx="250">
                  <c:v>12.500000000000043</c:v>
                </c:pt>
                <c:pt idx="251">
                  <c:v>12.550000000000043</c:v>
                </c:pt>
                <c:pt idx="252">
                  <c:v>12.600000000000044</c:v>
                </c:pt>
                <c:pt idx="253">
                  <c:v>12.650000000000045</c:v>
                </c:pt>
                <c:pt idx="254">
                  <c:v>12.700000000000045</c:v>
                </c:pt>
                <c:pt idx="255">
                  <c:v>12.750000000000046</c:v>
                </c:pt>
                <c:pt idx="256">
                  <c:v>12.800000000000047</c:v>
                </c:pt>
                <c:pt idx="257">
                  <c:v>12.850000000000048</c:v>
                </c:pt>
                <c:pt idx="258">
                  <c:v>12.900000000000048</c:v>
                </c:pt>
                <c:pt idx="259">
                  <c:v>12.950000000000049</c:v>
                </c:pt>
                <c:pt idx="260">
                  <c:v>13.00000000000005</c:v>
                </c:pt>
                <c:pt idx="261">
                  <c:v>13.05000000000005</c:v>
                </c:pt>
                <c:pt idx="262">
                  <c:v>13.100000000000051</c:v>
                </c:pt>
                <c:pt idx="263">
                  <c:v>13.150000000000052</c:v>
                </c:pt>
                <c:pt idx="264">
                  <c:v>13.200000000000053</c:v>
                </c:pt>
                <c:pt idx="265">
                  <c:v>13.250000000000053</c:v>
                </c:pt>
                <c:pt idx="266">
                  <c:v>13.300000000000054</c:v>
                </c:pt>
                <c:pt idx="267">
                  <c:v>13.350000000000055</c:v>
                </c:pt>
                <c:pt idx="268">
                  <c:v>13.400000000000055</c:v>
                </c:pt>
                <c:pt idx="269">
                  <c:v>13.450000000000056</c:v>
                </c:pt>
                <c:pt idx="270">
                  <c:v>13.500000000000057</c:v>
                </c:pt>
                <c:pt idx="271">
                  <c:v>13.550000000000058</c:v>
                </c:pt>
                <c:pt idx="272">
                  <c:v>13.600000000000058</c:v>
                </c:pt>
                <c:pt idx="273">
                  <c:v>13.650000000000059</c:v>
                </c:pt>
                <c:pt idx="274">
                  <c:v>13.70000000000006</c:v>
                </c:pt>
                <c:pt idx="275">
                  <c:v>13.75000000000006</c:v>
                </c:pt>
                <c:pt idx="276">
                  <c:v>13.800000000000061</c:v>
                </c:pt>
                <c:pt idx="277">
                  <c:v>13.850000000000062</c:v>
                </c:pt>
                <c:pt idx="278">
                  <c:v>13.900000000000063</c:v>
                </c:pt>
                <c:pt idx="279">
                  <c:v>13.950000000000063</c:v>
                </c:pt>
                <c:pt idx="280">
                  <c:v>14.000000000000064</c:v>
                </c:pt>
                <c:pt idx="281">
                  <c:v>14.050000000000065</c:v>
                </c:pt>
                <c:pt idx="282">
                  <c:v>14.100000000000065</c:v>
                </c:pt>
                <c:pt idx="283">
                  <c:v>14.150000000000066</c:v>
                </c:pt>
                <c:pt idx="284">
                  <c:v>14.200000000000067</c:v>
                </c:pt>
                <c:pt idx="285">
                  <c:v>14.250000000000068</c:v>
                </c:pt>
                <c:pt idx="286">
                  <c:v>14.300000000000068</c:v>
                </c:pt>
                <c:pt idx="287">
                  <c:v>14.350000000000069</c:v>
                </c:pt>
                <c:pt idx="288">
                  <c:v>14.40000000000007</c:v>
                </c:pt>
                <c:pt idx="289">
                  <c:v>14.45000000000007</c:v>
                </c:pt>
                <c:pt idx="290">
                  <c:v>14.500000000000071</c:v>
                </c:pt>
                <c:pt idx="291">
                  <c:v>14.550000000000072</c:v>
                </c:pt>
                <c:pt idx="292">
                  <c:v>14.600000000000072</c:v>
                </c:pt>
                <c:pt idx="293">
                  <c:v>14.650000000000073</c:v>
                </c:pt>
                <c:pt idx="294">
                  <c:v>14.700000000000074</c:v>
                </c:pt>
                <c:pt idx="295">
                  <c:v>14.750000000000075</c:v>
                </c:pt>
                <c:pt idx="296">
                  <c:v>14.800000000000075</c:v>
                </c:pt>
                <c:pt idx="297">
                  <c:v>14.850000000000076</c:v>
                </c:pt>
                <c:pt idx="298">
                  <c:v>14.900000000000077</c:v>
                </c:pt>
                <c:pt idx="299">
                  <c:v>14.950000000000077</c:v>
                </c:pt>
                <c:pt idx="300">
                  <c:v>15.000000000000078</c:v>
                </c:pt>
                <c:pt idx="301">
                  <c:v>15.050000000000079</c:v>
                </c:pt>
                <c:pt idx="302">
                  <c:v>15.10000000000008</c:v>
                </c:pt>
                <c:pt idx="303">
                  <c:v>15.15000000000008</c:v>
                </c:pt>
                <c:pt idx="304">
                  <c:v>15.200000000000081</c:v>
                </c:pt>
                <c:pt idx="305">
                  <c:v>15.250000000000082</c:v>
                </c:pt>
                <c:pt idx="306">
                  <c:v>15.300000000000082</c:v>
                </c:pt>
                <c:pt idx="307">
                  <c:v>15.350000000000083</c:v>
                </c:pt>
                <c:pt idx="308">
                  <c:v>15.400000000000084</c:v>
                </c:pt>
                <c:pt idx="309">
                  <c:v>15.450000000000085</c:v>
                </c:pt>
                <c:pt idx="310">
                  <c:v>15.500000000000085</c:v>
                </c:pt>
                <c:pt idx="311">
                  <c:v>15.550000000000086</c:v>
                </c:pt>
                <c:pt idx="312">
                  <c:v>15.600000000000087</c:v>
                </c:pt>
                <c:pt idx="313">
                  <c:v>15.650000000000087</c:v>
                </c:pt>
                <c:pt idx="314">
                  <c:v>15.700000000000088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F69-5C4A-9908-A92CB5A44A29}"/>
            </c:ext>
          </c:extLst>
        </c:ser>
        <c:ser>
          <c:idx val="2"/>
          <c:order val="2"/>
          <c:tx>
            <c:v>+1 SD</c:v>
          </c:tx>
          <c:spPr>
            <a:ln w="127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'ej 5.2'!$E$9:$E$341</c:f>
              <c:numCache>
                <c:formatCode>0.00</c:formatCode>
                <c:ptCount val="333"/>
                <c:pt idx="0">
                  <c:v>9.799999999996447E-3</c:v>
                </c:pt>
                <c:pt idx="1">
                  <c:v>0.23124999999999996</c:v>
                </c:pt>
                <c:pt idx="2">
                  <c:v>1.1431</c:v>
                </c:pt>
                <c:pt idx="3">
                  <c:v>2.1887999999999996</c:v>
                </c:pt>
                <c:pt idx="4">
                  <c:v>2.8155999999999999</c:v>
                </c:pt>
                <c:pt idx="5">
                  <c:v>4.60405</c:v>
                </c:pt>
                <c:pt idx="6">
                  <c:v>6.6458999999999993</c:v>
                </c:pt>
                <c:pt idx="7">
                  <c:v>8.05105</c:v>
                </c:pt>
                <c:pt idx="8">
                  <c:v>7.8901500000000002</c:v>
                </c:pt>
                <c:pt idx="9">
                  <c:v>7.6754000000000007</c:v>
                </c:pt>
                <c:pt idx="10">
                  <c:v>8.4087500000000013</c:v>
                </c:pt>
                <c:pt idx="11">
                  <c:v>9.4641500000000001</c:v>
                </c:pt>
                <c:pt idx="12">
                  <c:v>10.506399999999999</c:v>
                </c:pt>
                <c:pt idx="13">
                  <c:v>7.5672999999999995</c:v>
                </c:pt>
                <c:pt idx="14">
                  <c:v>5.3513500000000001</c:v>
                </c:pt>
                <c:pt idx="15">
                  <c:v>3.7643</c:v>
                </c:pt>
                <c:pt idx="16">
                  <c:v>2.7797000000000001</c:v>
                </c:pt>
                <c:pt idx="17">
                  <c:v>2.5259999999999998</c:v>
                </c:pt>
                <c:pt idx="18">
                  <c:v>2.5103999999999997</c:v>
                </c:pt>
                <c:pt idx="19">
                  <c:v>2.46475</c:v>
                </c:pt>
                <c:pt idx="20">
                  <c:v>2.1406499999999999</c:v>
                </c:pt>
                <c:pt idx="21">
                  <c:v>1.9131999999999998</c:v>
                </c:pt>
                <c:pt idx="22">
                  <c:v>1.69895</c:v>
                </c:pt>
                <c:pt idx="23">
                  <c:v>1.82595</c:v>
                </c:pt>
                <c:pt idx="24">
                  <c:v>1.8839999999999999</c:v>
                </c:pt>
                <c:pt idx="25">
                  <c:v>1.84935</c:v>
                </c:pt>
                <c:pt idx="26">
                  <c:v>1.80765</c:v>
                </c:pt>
                <c:pt idx="27">
                  <c:v>1.7777500000000002</c:v>
                </c:pt>
                <c:pt idx="28">
                  <c:v>1.7068000000000001</c:v>
                </c:pt>
                <c:pt idx="29">
                  <c:v>1.66255</c:v>
                </c:pt>
                <c:pt idx="30">
                  <c:v>1.65395</c:v>
                </c:pt>
                <c:pt idx="31">
                  <c:v>1.63975</c:v>
                </c:pt>
                <c:pt idx="32">
                  <c:v>1.6371499999999999</c:v>
                </c:pt>
                <c:pt idx="33">
                  <c:v>1.5387</c:v>
                </c:pt>
                <c:pt idx="34">
                  <c:v>1.4923999999999999</c:v>
                </c:pt>
                <c:pt idx="35">
                  <c:v>1.5697000000000001</c:v>
                </c:pt>
                <c:pt idx="36">
                  <c:v>1.71685</c:v>
                </c:pt>
                <c:pt idx="37">
                  <c:v>1.74115</c:v>
                </c:pt>
                <c:pt idx="38">
                  <c:v>1.7967500000000001</c:v>
                </c:pt>
                <c:pt idx="39">
                  <c:v>1.7860499999999999</c:v>
                </c:pt>
                <c:pt idx="40">
                  <c:v>1.8026499999999999</c:v>
                </c:pt>
                <c:pt idx="41">
                  <c:v>1.78515</c:v>
                </c:pt>
                <c:pt idx="42">
                  <c:v>1.8967499999999999</c:v>
                </c:pt>
                <c:pt idx="43">
                  <c:v>2.0219999999999998</c:v>
                </c:pt>
                <c:pt idx="44">
                  <c:v>2.0995499999999998</c:v>
                </c:pt>
                <c:pt idx="45">
                  <c:v>2.3114500000000002</c:v>
                </c:pt>
                <c:pt idx="46">
                  <c:v>2.2895500000000002</c:v>
                </c:pt>
                <c:pt idx="47">
                  <c:v>2.2452000000000001</c:v>
                </c:pt>
                <c:pt idx="48">
                  <c:v>2.1521499999999998</c:v>
                </c:pt>
                <c:pt idx="49">
                  <c:v>2.0531000000000001</c:v>
                </c:pt>
                <c:pt idx="50">
                  <c:v>2.2272499999999997</c:v>
                </c:pt>
                <c:pt idx="51">
                  <c:v>2.3737499999999998</c:v>
                </c:pt>
                <c:pt idx="52">
                  <c:v>2.4638499999999999</c:v>
                </c:pt>
                <c:pt idx="53">
                  <c:v>2.44875</c:v>
                </c:pt>
                <c:pt idx="54">
                  <c:v>2.4369000000000001</c:v>
                </c:pt>
                <c:pt idx="55">
                  <c:v>2.6866500000000002</c:v>
                </c:pt>
                <c:pt idx="56">
                  <c:v>2.9215499999999999</c:v>
                </c:pt>
                <c:pt idx="57">
                  <c:v>3.1192500000000001</c:v>
                </c:pt>
                <c:pt idx="58">
                  <c:v>2.7975000000000003</c:v>
                </c:pt>
                <c:pt idx="59">
                  <c:v>2.5696499999999998</c:v>
                </c:pt>
                <c:pt idx="60">
                  <c:v>2.5533999999999999</c:v>
                </c:pt>
                <c:pt idx="61">
                  <c:v>2.6040000000000001</c:v>
                </c:pt>
                <c:pt idx="62">
                  <c:v>2.6030500000000001</c:v>
                </c:pt>
                <c:pt idx="63">
                  <c:v>2.5857999999999999</c:v>
                </c:pt>
                <c:pt idx="64">
                  <c:v>2.5174499999999997</c:v>
                </c:pt>
                <c:pt idx="65">
                  <c:v>2.4529500000000004</c:v>
                </c:pt>
                <c:pt idx="66">
                  <c:v>2.4224999999999999</c:v>
                </c:pt>
                <c:pt idx="67">
                  <c:v>2.45445</c:v>
                </c:pt>
                <c:pt idx="68">
                  <c:v>2.4853000000000001</c:v>
                </c:pt>
                <c:pt idx="69">
                  <c:v>2.5555500000000002</c:v>
                </c:pt>
                <c:pt idx="70">
                  <c:v>2.5481500000000001</c:v>
                </c:pt>
                <c:pt idx="71">
                  <c:v>2.5416500000000002</c:v>
                </c:pt>
                <c:pt idx="72">
                  <c:v>2.50075</c:v>
                </c:pt>
                <c:pt idx="73">
                  <c:v>2.5451999999999999</c:v>
                </c:pt>
                <c:pt idx="74">
                  <c:v>2.5441500000000001</c:v>
                </c:pt>
                <c:pt idx="75">
                  <c:v>2.5032500000000004</c:v>
                </c:pt>
                <c:pt idx="76">
                  <c:v>2.48935</c:v>
                </c:pt>
                <c:pt idx="77">
                  <c:v>2.4567499999999995</c:v>
                </c:pt>
                <c:pt idx="78">
                  <c:v>2.4667500000000002</c:v>
                </c:pt>
                <c:pt idx="79">
                  <c:v>2.5085000000000002</c:v>
                </c:pt>
                <c:pt idx="80">
                  <c:v>2.5693999999999999</c:v>
                </c:pt>
                <c:pt idx="81">
                  <c:v>2.58765</c:v>
                </c:pt>
                <c:pt idx="82">
                  <c:v>2.68</c:v>
                </c:pt>
                <c:pt idx="83">
                  <c:v>2.82925</c:v>
                </c:pt>
                <c:pt idx="84">
                  <c:v>3.0444</c:v>
                </c:pt>
                <c:pt idx="85">
                  <c:v>3.1321999999999997</c:v>
                </c:pt>
                <c:pt idx="86">
                  <c:v>3.1467999999999998</c:v>
                </c:pt>
                <c:pt idx="87">
                  <c:v>3.2407499999999998</c:v>
                </c:pt>
                <c:pt idx="88">
                  <c:v>3.2079</c:v>
                </c:pt>
                <c:pt idx="89">
                  <c:v>3.2929500000000003</c:v>
                </c:pt>
                <c:pt idx="90">
                  <c:v>3.16465</c:v>
                </c:pt>
                <c:pt idx="91">
                  <c:v>2.9257</c:v>
                </c:pt>
                <c:pt idx="92">
                  <c:v>2.6456499999999998</c:v>
                </c:pt>
                <c:pt idx="93">
                  <c:v>2.6510000000000002</c:v>
                </c:pt>
                <c:pt idx="94">
                  <c:v>2.7291499999999997</c:v>
                </c:pt>
                <c:pt idx="95">
                  <c:v>2.6865000000000001</c:v>
                </c:pt>
                <c:pt idx="96">
                  <c:v>2.5939999999999999</c:v>
                </c:pt>
                <c:pt idx="97">
                  <c:v>2.5300500000000001</c:v>
                </c:pt>
                <c:pt idx="98">
                  <c:v>2.4199000000000002</c:v>
                </c:pt>
                <c:pt idx="99">
                  <c:v>2.3176999999999999</c:v>
                </c:pt>
                <c:pt idx="100">
                  <c:v>3.9701500000000003</c:v>
                </c:pt>
                <c:pt idx="101">
                  <c:v>6.6776999999999997</c:v>
                </c:pt>
                <c:pt idx="102">
                  <c:v>8.6979000000000006</c:v>
                </c:pt>
                <c:pt idx="103">
                  <c:v>10.220700000000001</c:v>
                </c:pt>
                <c:pt idx="104">
                  <c:v>4.2305000000000001</c:v>
                </c:pt>
                <c:pt idx="105">
                  <c:v>2.0255000000000001</c:v>
                </c:pt>
                <c:pt idx="106">
                  <c:v>5.8220999999999998</c:v>
                </c:pt>
                <c:pt idx="107">
                  <c:v>9.6187000000000005</c:v>
                </c:pt>
                <c:pt idx="108">
                  <c:v>6.7978000000000005</c:v>
                </c:pt>
                <c:pt idx="109">
                  <c:v>1.8778999999999999</c:v>
                </c:pt>
                <c:pt idx="110">
                  <c:v>3.2984499999999999</c:v>
                </c:pt>
                <c:pt idx="111">
                  <c:v>5.4477000000000002</c:v>
                </c:pt>
                <c:pt idx="112">
                  <c:v>8.0838000000000001</c:v>
                </c:pt>
                <c:pt idx="113">
                  <c:v>7.3010999999999999</c:v>
                </c:pt>
                <c:pt idx="114">
                  <c:v>6.6772000000000009</c:v>
                </c:pt>
                <c:pt idx="115">
                  <c:v>5.3815</c:v>
                </c:pt>
                <c:pt idx="116">
                  <c:v>3.4941</c:v>
                </c:pt>
                <c:pt idx="117">
                  <c:v>1.71455</c:v>
                </c:pt>
                <c:pt idx="118">
                  <c:v>3.2161499999999998</c:v>
                </c:pt>
                <c:pt idx="119">
                  <c:v>4.4782000000000002</c:v>
                </c:pt>
                <c:pt idx="120">
                  <c:v>5.1658999999999997</c:v>
                </c:pt>
                <c:pt idx="121">
                  <c:v>4.8785999999999996</c:v>
                </c:pt>
                <c:pt idx="122">
                  <c:v>6.6817000000000002</c:v>
                </c:pt>
                <c:pt idx="123">
                  <c:v>6.1147999999999998</c:v>
                </c:pt>
                <c:pt idx="124">
                  <c:v>5.0297000000000001</c:v>
                </c:pt>
                <c:pt idx="125">
                  <c:v>5.4950000000000001</c:v>
                </c:pt>
                <c:pt idx="126">
                  <c:v>6.8719999999999999</c:v>
                </c:pt>
                <c:pt idx="127">
                  <c:v>8.3564000000000007</c:v>
                </c:pt>
                <c:pt idx="128">
                  <c:v>6.3156999999999996</c:v>
                </c:pt>
                <c:pt idx="129">
                  <c:v>2.9371</c:v>
                </c:pt>
                <c:pt idx="130">
                  <c:v>3.8494000000000002</c:v>
                </c:pt>
                <c:pt idx="131">
                  <c:v>5.4028</c:v>
                </c:pt>
                <c:pt idx="132">
                  <c:v>6.8301999999999996</c:v>
                </c:pt>
                <c:pt idx="133">
                  <c:v>8.0943000000000005</c:v>
                </c:pt>
                <c:pt idx="134">
                  <c:v>9.3979999999999997</c:v>
                </c:pt>
                <c:pt idx="135">
                  <c:v>10.6655</c:v>
                </c:pt>
                <c:pt idx="136">
                  <c:v>11.421200000000001</c:v>
                </c:pt>
                <c:pt idx="137">
                  <c:v>12.4772</c:v>
                </c:pt>
                <c:pt idx="138">
                  <c:v>12.279500000000001</c:v>
                </c:pt>
                <c:pt idx="139">
                  <c:v>12.058150000000001</c:v>
                </c:pt>
                <c:pt idx="140">
                  <c:v>11.437100000000001</c:v>
                </c:pt>
                <c:pt idx="141">
                  <c:v>10.7241</c:v>
                </c:pt>
                <c:pt idx="142">
                  <c:v>9.9789500000000011</c:v>
                </c:pt>
                <c:pt idx="143">
                  <c:v>10.365100000000002</c:v>
                </c:pt>
                <c:pt idx="144">
                  <c:v>10.895099999999999</c:v>
                </c:pt>
                <c:pt idx="145">
                  <c:v>10.847849999999999</c:v>
                </c:pt>
                <c:pt idx="146">
                  <c:v>10.098649999999999</c:v>
                </c:pt>
                <c:pt idx="147">
                  <c:v>9.4498500000000014</c:v>
                </c:pt>
                <c:pt idx="148">
                  <c:v>11.9491</c:v>
                </c:pt>
                <c:pt idx="149">
                  <c:v>13.17285</c:v>
                </c:pt>
                <c:pt idx="150">
                  <c:v>14.908200000000001</c:v>
                </c:pt>
                <c:pt idx="151">
                  <c:v>13.657500000000001</c:v>
                </c:pt>
                <c:pt idx="152">
                  <c:v>12.8988</c:v>
                </c:pt>
                <c:pt idx="153">
                  <c:v>12.610200000000001</c:v>
                </c:pt>
                <c:pt idx="154">
                  <c:v>12.772</c:v>
                </c:pt>
                <c:pt idx="155">
                  <c:v>12.428599999999999</c:v>
                </c:pt>
                <c:pt idx="156">
                  <c:v>8.0229499999999998</c:v>
                </c:pt>
                <c:pt idx="157">
                  <c:v>6.34755</c:v>
                </c:pt>
                <c:pt idx="158">
                  <c:v>6.9177500000000007</c:v>
                </c:pt>
                <c:pt idx="159">
                  <c:v>7.3838999999999997</c:v>
                </c:pt>
                <c:pt idx="160">
                  <c:v>8.8407</c:v>
                </c:pt>
                <c:pt idx="161">
                  <c:v>10.5273</c:v>
                </c:pt>
                <c:pt idx="162">
                  <c:v>12.309900000000001</c:v>
                </c:pt>
                <c:pt idx="163">
                  <c:v>11.9237</c:v>
                </c:pt>
                <c:pt idx="164">
                  <c:v>11.597349999999999</c:v>
                </c:pt>
                <c:pt idx="165">
                  <c:v>9.9421999999999997</c:v>
                </c:pt>
                <c:pt idx="166">
                  <c:v>7.2279499999999999</c:v>
                </c:pt>
                <c:pt idx="167">
                  <c:v>5.6820499999999994</c:v>
                </c:pt>
                <c:pt idx="168">
                  <c:v>5.2571499999999993</c:v>
                </c:pt>
                <c:pt idx="169">
                  <c:v>4.8772000000000002</c:v>
                </c:pt>
                <c:pt idx="170">
                  <c:v>5.2896999999999998</c:v>
                </c:pt>
                <c:pt idx="171">
                  <c:v>5.7698</c:v>
                </c:pt>
                <c:pt idx="172">
                  <c:v>6.0114000000000001</c:v>
                </c:pt>
                <c:pt idx="173">
                  <c:v>6.0255500000000008</c:v>
                </c:pt>
                <c:pt idx="174">
                  <c:v>6.1044499999999999</c:v>
                </c:pt>
                <c:pt idx="175">
                  <c:v>6</c:v>
                </c:pt>
                <c:pt idx="176">
                  <c:v>5.6859500000000001</c:v>
                </c:pt>
                <c:pt idx="177">
                  <c:v>5.8873499999999996</c:v>
                </c:pt>
                <c:pt idx="178">
                  <c:v>6.4835000000000003</c:v>
                </c:pt>
                <c:pt idx="179">
                  <c:v>6.9535</c:v>
                </c:pt>
                <c:pt idx="180">
                  <c:v>6.4893999999999998</c:v>
                </c:pt>
                <c:pt idx="181">
                  <c:v>6.0799500000000002</c:v>
                </c:pt>
                <c:pt idx="182">
                  <c:v>5.7271000000000001</c:v>
                </c:pt>
                <c:pt idx="183">
                  <c:v>5.7230000000000008</c:v>
                </c:pt>
                <c:pt idx="184">
                  <c:v>5.6728500000000004</c:v>
                </c:pt>
                <c:pt idx="185">
                  <c:v>5.7114500000000001</c:v>
                </c:pt>
                <c:pt idx="186">
                  <c:v>5.6913</c:v>
                </c:pt>
                <c:pt idx="187">
                  <c:v>5.7255000000000003</c:v>
                </c:pt>
                <c:pt idx="188">
                  <c:v>5.8562500000000002</c:v>
                </c:pt>
                <c:pt idx="189">
                  <c:v>6.0638500000000004</c:v>
                </c:pt>
                <c:pt idx="190">
                  <c:v>6.4692000000000007</c:v>
                </c:pt>
                <c:pt idx="191">
                  <c:v>7.0352999999999994</c:v>
                </c:pt>
                <c:pt idx="192">
                  <c:v>6.81</c:v>
                </c:pt>
                <c:pt idx="193">
                  <c:v>6.5744500000000006</c:v>
                </c:pt>
                <c:pt idx="194">
                  <c:v>6.3673999999999999</c:v>
                </c:pt>
                <c:pt idx="195">
                  <c:v>6.5134000000000007</c:v>
                </c:pt>
                <c:pt idx="196">
                  <c:v>6.6375000000000002</c:v>
                </c:pt>
                <c:pt idx="197">
                  <c:v>6.3782499999999995</c:v>
                </c:pt>
                <c:pt idx="198">
                  <c:v>6.1881000000000004</c:v>
                </c:pt>
                <c:pt idx="199">
                  <c:v>5.9798500000000008</c:v>
                </c:pt>
                <c:pt idx="200">
                  <c:v>6.0085499999999996</c:v>
                </c:pt>
                <c:pt idx="201">
                  <c:v>6.0734999999999992</c:v>
                </c:pt>
                <c:pt idx="202">
                  <c:v>6.2198499999999992</c:v>
                </c:pt>
                <c:pt idx="203">
                  <c:v>6.3272999999999993</c:v>
                </c:pt>
                <c:pt idx="204">
                  <c:v>6.50495</c:v>
                </c:pt>
                <c:pt idx="205">
                  <c:v>6.4340499999999992</c:v>
                </c:pt>
                <c:pt idx="206">
                  <c:v>6.4469500000000002</c:v>
                </c:pt>
                <c:pt idx="207">
                  <c:v>6.4444999999999997</c:v>
                </c:pt>
                <c:pt idx="208">
                  <c:v>6.4559499999999996</c:v>
                </c:pt>
                <c:pt idx="209">
                  <c:v>6.5006500000000003</c:v>
                </c:pt>
                <c:pt idx="210">
                  <c:v>6.4307999999999996</c:v>
                </c:pt>
                <c:pt idx="211">
                  <c:v>6.4166499999999997</c:v>
                </c:pt>
                <c:pt idx="212">
                  <c:v>6.6058500000000002</c:v>
                </c:pt>
                <c:pt idx="213">
                  <c:v>6.8565500000000004</c:v>
                </c:pt>
                <c:pt idx="214">
                  <c:v>7.0420000000000007</c:v>
                </c:pt>
                <c:pt idx="215">
                  <c:v>6.7622999999999998</c:v>
                </c:pt>
                <c:pt idx="216">
                  <c:v>6.5957500000000007</c:v>
                </c:pt>
                <c:pt idx="217">
                  <c:v>7.8390000000000004</c:v>
                </c:pt>
                <c:pt idx="218">
                  <c:v>9.1583499999999987</c:v>
                </c:pt>
                <c:pt idx="219">
                  <c:v>9.39255</c:v>
                </c:pt>
                <c:pt idx="220">
                  <c:v>8.0114999999999998</c:v>
                </c:pt>
                <c:pt idx="221">
                  <c:v>6.4727499999999996</c:v>
                </c:pt>
                <c:pt idx="222">
                  <c:v>6.8304499999999999</c:v>
                </c:pt>
                <c:pt idx="223">
                  <c:v>7.2298</c:v>
                </c:pt>
                <c:pt idx="224">
                  <c:v>7.4850000000000003</c:v>
                </c:pt>
                <c:pt idx="225">
                  <c:v>7.6700999999999997</c:v>
                </c:pt>
                <c:pt idx="226">
                  <c:v>7.8431499999999996</c:v>
                </c:pt>
                <c:pt idx="227">
                  <c:v>10.12055</c:v>
                </c:pt>
                <c:pt idx="228">
                  <c:v>13.369</c:v>
                </c:pt>
                <c:pt idx="229">
                  <c:v>15.00065</c:v>
                </c:pt>
                <c:pt idx="230">
                  <c:v>14.8857</c:v>
                </c:pt>
                <c:pt idx="231">
                  <c:v>14.733749999999999</c:v>
                </c:pt>
                <c:pt idx="232">
                  <c:v>14.52225</c:v>
                </c:pt>
                <c:pt idx="233">
                  <c:v>14.446949999999999</c:v>
                </c:pt>
                <c:pt idx="234">
                  <c:v>14.38625</c:v>
                </c:pt>
                <c:pt idx="235">
                  <c:v>13.867099999999999</c:v>
                </c:pt>
                <c:pt idx="236">
                  <c:v>13.260949999999999</c:v>
                </c:pt>
                <c:pt idx="237">
                  <c:v>12.8344</c:v>
                </c:pt>
                <c:pt idx="238">
                  <c:v>12.433</c:v>
                </c:pt>
                <c:pt idx="239">
                  <c:v>12.901899999999999</c:v>
                </c:pt>
                <c:pt idx="240">
                  <c:v>16.244700000000002</c:v>
                </c:pt>
                <c:pt idx="241">
                  <c:v>18.259599999999999</c:v>
                </c:pt>
                <c:pt idx="242">
                  <c:v>20.2151</c:v>
                </c:pt>
                <c:pt idx="243">
                  <c:v>20.4955</c:v>
                </c:pt>
                <c:pt idx="244">
                  <c:v>20.245100000000001</c:v>
                </c:pt>
                <c:pt idx="245">
                  <c:v>19.757999999999996</c:v>
                </c:pt>
                <c:pt idx="246">
                  <c:v>18.945700000000002</c:v>
                </c:pt>
                <c:pt idx="247">
                  <c:v>19.706600000000002</c:v>
                </c:pt>
                <c:pt idx="248">
                  <c:v>20.938000000000002</c:v>
                </c:pt>
                <c:pt idx="249">
                  <c:v>21.0642</c:v>
                </c:pt>
                <c:pt idx="250">
                  <c:v>20.518799999999999</c:v>
                </c:pt>
                <c:pt idx="251">
                  <c:v>19.976400000000002</c:v>
                </c:pt>
                <c:pt idx="252">
                  <c:v>20.0915</c:v>
                </c:pt>
                <c:pt idx="253">
                  <c:v>20.517400000000002</c:v>
                </c:pt>
                <c:pt idx="254">
                  <c:v>20.2605</c:v>
                </c:pt>
                <c:pt idx="255">
                  <c:v>19.451799999999999</c:v>
                </c:pt>
                <c:pt idx="256">
                  <c:v>17.904200000000003</c:v>
                </c:pt>
                <c:pt idx="257">
                  <c:v>19.880099999999999</c:v>
                </c:pt>
                <c:pt idx="258">
                  <c:v>21.616300000000003</c:v>
                </c:pt>
                <c:pt idx="259">
                  <c:v>22.189899999999998</c:v>
                </c:pt>
                <c:pt idx="260">
                  <c:v>22.062199999999997</c:v>
                </c:pt>
                <c:pt idx="261">
                  <c:v>21.959899999999998</c:v>
                </c:pt>
                <c:pt idx="262">
                  <c:v>22.559100000000001</c:v>
                </c:pt>
                <c:pt idx="263">
                  <c:v>23.2654</c:v>
                </c:pt>
                <c:pt idx="264">
                  <c:v>22.399799999999999</c:v>
                </c:pt>
                <c:pt idx="265">
                  <c:v>23.554600000000001</c:v>
                </c:pt>
                <c:pt idx="266">
                  <c:v>25.146500000000003</c:v>
                </c:pt>
                <c:pt idx="267">
                  <c:v>21.2729</c:v>
                </c:pt>
                <c:pt idx="268">
                  <c:v>17.027999999999999</c:v>
                </c:pt>
                <c:pt idx="269">
                  <c:v>12.4605</c:v>
                </c:pt>
                <c:pt idx="270">
                  <c:v>11.2057</c:v>
                </c:pt>
                <c:pt idx="271">
                  <c:v>10.239099999999999</c:v>
                </c:pt>
                <c:pt idx="272">
                  <c:v>10.0732</c:v>
                </c:pt>
                <c:pt idx="273">
                  <c:v>9.9588999999999999</c:v>
                </c:pt>
                <c:pt idx="274">
                  <c:v>9.8505500000000019</c:v>
                </c:pt>
                <c:pt idx="275">
                  <c:v>9.6527999999999992</c:v>
                </c:pt>
                <c:pt idx="276">
                  <c:v>9.6814500000000017</c:v>
                </c:pt>
                <c:pt idx="277">
                  <c:v>9.7566500000000005</c:v>
                </c:pt>
                <c:pt idx="278">
                  <c:v>9.8489500000000021</c:v>
                </c:pt>
                <c:pt idx="279">
                  <c:v>9.9296500000000005</c:v>
                </c:pt>
                <c:pt idx="280">
                  <c:v>9.9681999999999995</c:v>
                </c:pt>
                <c:pt idx="281">
                  <c:v>10.12405</c:v>
                </c:pt>
                <c:pt idx="282">
                  <c:v>10.271149999999999</c:v>
                </c:pt>
                <c:pt idx="283">
                  <c:v>10.420900000000001</c:v>
                </c:pt>
                <c:pt idx="284">
                  <c:v>10.21285</c:v>
                </c:pt>
                <c:pt idx="285">
                  <c:v>9.8834000000000017</c:v>
                </c:pt>
                <c:pt idx="286">
                  <c:v>9.6640499999999996</c:v>
                </c:pt>
                <c:pt idx="287">
                  <c:v>9.5840999999999994</c:v>
                </c:pt>
                <c:pt idx="288">
                  <c:v>9.5606000000000009</c:v>
                </c:pt>
                <c:pt idx="289">
                  <c:v>9.4631000000000007</c:v>
                </c:pt>
                <c:pt idx="290">
                  <c:v>9.3130000000000006</c:v>
                </c:pt>
                <c:pt idx="291">
                  <c:v>9.140150000000002</c:v>
                </c:pt>
                <c:pt idx="292">
                  <c:v>9.1333500000000001</c:v>
                </c:pt>
                <c:pt idx="293">
                  <c:v>9.1205500000000015</c:v>
                </c:pt>
                <c:pt idx="294">
                  <c:v>9.1448500000000017</c:v>
                </c:pt>
                <c:pt idx="295">
                  <c:v>9.2232500000000002</c:v>
                </c:pt>
                <c:pt idx="296">
                  <c:v>9.3505499999999984</c:v>
                </c:pt>
                <c:pt idx="297">
                  <c:v>9.55185</c:v>
                </c:pt>
                <c:pt idx="298">
                  <c:v>9.7492999999999999</c:v>
                </c:pt>
                <c:pt idx="299">
                  <c:v>9.4067000000000007</c:v>
                </c:pt>
                <c:pt idx="300">
                  <c:v>8.9253499999999999</c:v>
                </c:pt>
                <c:pt idx="301">
                  <c:v>8.6723999999999997</c:v>
                </c:pt>
                <c:pt idx="302">
                  <c:v>8.6637500000000003</c:v>
                </c:pt>
                <c:pt idx="303">
                  <c:v>8.5894000000000013</c:v>
                </c:pt>
                <c:pt idx="304">
                  <c:v>8.3488000000000007</c:v>
                </c:pt>
                <c:pt idx="305">
                  <c:v>8.0440000000000005</c:v>
                </c:pt>
                <c:pt idx="306">
                  <c:v>7.7375499999999997</c:v>
                </c:pt>
                <c:pt idx="307">
                  <c:v>7.4651999999999994</c:v>
                </c:pt>
                <c:pt idx="308">
                  <c:v>7.1575000000000006</c:v>
                </c:pt>
                <c:pt idx="309">
                  <c:v>6.9771000000000001</c:v>
                </c:pt>
                <c:pt idx="310">
                  <c:v>6.7558500000000006</c:v>
                </c:pt>
                <c:pt idx="311">
                  <c:v>7.5474499999999995</c:v>
                </c:pt>
                <c:pt idx="312">
                  <c:v>9.0387000000000004</c:v>
                </c:pt>
                <c:pt idx="313">
                  <c:v>11.76965</c:v>
                </c:pt>
                <c:pt idx="314">
                  <c:v>13.435100000000002</c:v>
                </c:pt>
              </c:numCache>
            </c:numRef>
          </c:xVal>
          <c:yVal>
            <c:numRef>
              <c:f>'ej 5.2'!$A$9:$A$341</c:f>
              <c:numCache>
                <c:formatCode>0.00</c:formatCode>
                <c:ptCount val="333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0.39999999999999997</c:v>
                </c:pt>
                <c:pt idx="9">
                  <c:v>0.44999999999999996</c:v>
                </c:pt>
                <c:pt idx="10">
                  <c:v>0.49999999999999994</c:v>
                </c:pt>
                <c:pt idx="11">
                  <c:v>0.54999999999999993</c:v>
                </c:pt>
                <c:pt idx="12">
                  <c:v>0.6</c:v>
                </c:pt>
                <c:pt idx="13">
                  <c:v>0.65</c:v>
                </c:pt>
                <c:pt idx="14">
                  <c:v>0.70000000000000007</c:v>
                </c:pt>
                <c:pt idx="15">
                  <c:v>0.75000000000000011</c:v>
                </c:pt>
                <c:pt idx="16">
                  <c:v>0.80000000000000016</c:v>
                </c:pt>
                <c:pt idx="17">
                  <c:v>0.8500000000000002</c:v>
                </c:pt>
                <c:pt idx="18">
                  <c:v>0.90000000000000024</c:v>
                </c:pt>
                <c:pt idx="19">
                  <c:v>0.95000000000000029</c:v>
                </c:pt>
                <c:pt idx="20">
                  <c:v>1.0000000000000002</c:v>
                </c:pt>
                <c:pt idx="21">
                  <c:v>1.0500000000000003</c:v>
                </c:pt>
                <c:pt idx="22">
                  <c:v>1.1000000000000003</c:v>
                </c:pt>
                <c:pt idx="23">
                  <c:v>1.1500000000000004</c:v>
                </c:pt>
                <c:pt idx="24">
                  <c:v>1.2000000000000004</c:v>
                </c:pt>
                <c:pt idx="25">
                  <c:v>1.2500000000000004</c:v>
                </c:pt>
                <c:pt idx="26">
                  <c:v>1.3000000000000005</c:v>
                </c:pt>
                <c:pt idx="27">
                  <c:v>1.3500000000000005</c:v>
                </c:pt>
                <c:pt idx="28">
                  <c:v>1.4000000000000006</c:v>
                </c:pt>
                <c:pt idx="29">
                  <c:v>1.4500000000000006</c:v>
                </c:pt>
                <c:pt idx="30">
                  <c:v>1.5000000000000007</c:v>
                </c:pt>
                <c:pt idx="31">
                  <c:v>1.5500000000000007</c:v>
                </c:pt>
                <c:pt idx="32">
                  <c:v>1.6000000000000008</c:v>
                </c:pt>
                <c:pt idx="33">
                  <c:v>1.6500000000000008</c:v>
                </c:pt>
                <c:pt idx="34">
                  <c:v>1.7000000000000008</c:v>
                </c:pt>
                <c:pt idx="35">
                  <c:v>1.7500000000000009</c:v>
                </c:pt>
                <c:pt idx="36">
                  <c:v>1.8000000000000009</c:v>
                </c:pt>
                <c:pt idx="37">
                  <c:v>1.850000000000001</c:v>
                </c:pt>
                <c:pt idx="38">
                  <c:v>1.900000000000001</c:v>
                </c:pt>
                <c:pt idx="39">
                  <c:v>1.9500000000000011</c:v>
                </c:pt>
                <c:pt idx="40">
                  <c:v>2.0000000000000009</c:v>
                </c:pt>
                <c:pt idx="41">
                  <c:v>2.0500000000000007</c:v>
                </c:pt>
                <c:pt idx="42">
                  <c:v>2.1000000000000005</c:v>
                </c:pt>
                <c:pt idx="43">
                  <c:v>2.1500000000000004</c:v>
                </c:pt>
                <c:pt idx="44">
                  <c:v>2.2000000000000002</c:v>
                </c:pt>
                <c:pt idx="45">
                  <c:v>2.25</c:v>
                </c:pt>
                <c:pt idx="46">
                  <c:v>2.2999999999999998</c:v>
                </c:pt>
                <c:pt idx="47">
                  <c:v>2.3499999999999996</c:v>
                </c:pt>
                <c:pt idx="48">
                  <c:v>2.3999999999999995</c:v>
                </c:pt>
                <c:pt idx="49">
                  <c:v>2.4499999999999993</c:v>
                </c:pt>
                <c:pt idx="50">
                  <c:v>2.4999999999999991</c:v>
                </c:pt>
                <c:pt idx="51">
                  <c:v>2.5499999999999989</c:v>
                </c:pt>
                <c:pt idx="52">
                  <c:v>2.5999999999999988</c:v>
                </c:pt>
                <c:pt idx="53">
                  <c:v>2.6499999999999986</c:v>
                </c:pt>
                <c:pt idx="54">
                  <c:v>2.6999999999999984</c:v>
                </c:pt>
                <c:pt idx="55">
                  <c:v>2.7499999999999982</c:v>
                </c:pt>
                <c:pt idx="56">
                  <c:v>2.799999999999998</c:v>
                </c:pt>
                <c:pt idx="57">
                  <c:v>2.8499999999999979</c:v>
                </c:pt>
                <c:pt idx="58">
                  <c:v>2.8999999999999977</c:v>
                </c:pt>
                <c:pt idx="59">
                  <c:v>2.9499999999999975</c:v>
                </c:pt>
                <c:pt idx="60">
                  <c:v>2.9999999999999973</c:v>
                </c:pt>
                <c:pt idx="61">
                  <c:v>3.0499999999999972</c:v>
                </c:pt>
                <c:pt idx="62">
                  <c:v>3.099999999999997</c:v>
                </c:pt>
                <c:pt idx="63">
                  <c:v>3.1499999999999968</c:v>
                </c:pt>
                <c:pt idx="64">
                  <c:v>3.1999999999999966</c:v>
                </c:pt>
                <c:pt idx="65">
                  <c:v>3.2499999999999964</c:v>
                </c:pt>
                <c:pt idx="66">
                  <c:v>3.2999999999999963</c:v>
                </c:pt>
                <c:pt idx="67">
                  <c:v>3.3499999999999961</c:v>
                </c:pt>
                <c:pt idx="68">
                  <c:v>3.3999999999999959</c:v>
                </c:pt>
                <c:pt idx="69">
                  <c:v>3.4499999999999957</c:v>
                </c:pt>
                <c:pt idx="70">
                  <c:v>3.4999999999999956</c:v>
                </c:pt>
                <c:pt idx="71">
                  <c:v>3.5499999999999954</c:v>
                </c:pt>
                <c:pt idx="72">
                  <c:v>3.5999999999999952</c:v>
                </c:pt>
                <c:pt idx="73">
                  <c:v>3.649999999999995</c:v>
                </c:pt>
                <c:pt idx="74">
                  <c:v>3.6999999999999948</c:v>
                </c:pt>
                <c:pt idx="75">
                  <c:v>3.7499999999999947</c:v>
                </c:pt>
                <c:pt idx="76">
                  <c:v>3.7999999999999945</c:v>
                </c:pt>
                <c:pt idx="77">
                  <c:v>3.8499999999999943</c:v>
                </c:pt>
                <c:pt idx="78">
                  <c:v>3.8999999999999941</c:v>
                </c:pt>
                <c:pt idx="79">
                  <c:v>3.949999999999994</c:v>
                </c:pt>
                <c:pt idx="80">
                  <c:v>3.9999999999999938</c:v>
                </c:pt>
                <c:pt idx="81">
                  <c:v>4.0499999999999936</c:v>
                </c:pt>
                <c:pt idx="82">
                  <c:v>4.0999999999999934</c:v>
                </c:pt>
                <c:pt idx="83">
                  <c:v>4.1499999999999932</c:v>
                </c:pt>
                <c:pt idx="84">
                  <c:v>4.1999999999999931</c:v>
                </c:pt>
                <c:pt idx="85">
                  <c:v>4.2499999999999929</c:v>
                </c:pt>
                <c:pt idx="86">
                  <c:v>4.2999999999999927</c:v>
                </c:pt>
                <c:pt idx="87">
                  <c:v>4.3499999999999925</c:v>
                </c:pt>
                <c:pt idx="88">
                  <c:v>4.3999999999999924</c:v>
                </c:pt>
                <c:pt idx="89">
                  <c:v>4.4499999999999922</c:v>
                </c:pt>
                <c:pt idx="90">
                  <c:v>4.499999999999992</c:v>
                </c:pt>
                <c:pt idx="91">
                  <c:v>4.5499999999999918</c:v>
                </c:pt>
                <c:pt idx="92">
                  <c:v>4.5999999999999917</c:v>
                </c:pt>
                <c:pt idx="93">
                  <c:v>4.6499999999999915</c:v>
                </c:pt>
                <c:pt idx="94">
                  <c:v>4.6999999999999913</c:v>
                </c:pt>
                <c:pt idx="95">
                  <c:v>4.7499999999999911</c:v>
                </c:pt>
                <c:pt idx="96">
                  <c:v>4.7999999999999909</c:v>
                </c:pt>
                <c:pt idx="97">
                  <c:v>4.8499999999999908</c:v>
                </c:pt>
                <c:pt idx="98">
                  <c:v>4.8999999999999906</c:v>
                </c:pt>
                <c:pt idx="99">
                  <c:v>4.9499999999999904</c:v>
                </c:pt>
                <c:pt idx="100">
                  <c:v>4.9999999999999902</c:v>
                </c:pt>
                <c:pt idx="101">
                  <c:v>5.0499999999999901</c:v>
                </c:pt>
                <c:pt idx="102">
                  <c:v>5.0999999999999899</c:v>
                </c:pt>
                <c:pt idx="103">
                  <c:v>5.1499999999999897</c:v>
                </c:pt>
                <c:pt idx="104">
                  <c:v>5.1999999999999895</c:v>
                </c:pt>
                <c:pt idx="105">
                  <c:v>5.2499999999999893</c:v>
                </c:pt>
                <c:pt idx="106">
                  <c:v>5.2999999999999892</c:v>
                </c:pt>
                <c:pt idx="107">
                  <c:v>5.349999999999989</c:v>
                </c:pt>
                <c:pt idx="108">
                  <c:v>5.3999999999999888</c:v>
                </c:pt>
                <c:pt idx="109">
                  <c:v>5.4499999999999886</c:v>
                </c:pt>
                <c:pt idx="110">
                  <c:v>5.4999999999999885</c:v>
                </c:pt>
                <c:pt idx="111">
                  <c:v>5.5499999999999883</c:v>
                </c:pt>
                <c:pt idx="112">
                  <c:v>5.5999999999999881</c:v>
                </c:pt>
                <c:pt idx="113">
                  <c:v>5.6499999999999879</c:v>
                </c:pt>
                <c:pt idx="114">
                  <c:v>5.6999999999999877</c:v>
                </c:pt>
                <c:pt idx="115">
                  <c:v>5.7499999999999876</c:v>
                </c:pt>
                <c:pt idx="116">
                  <c:v>5.7999999999999874</c:v>
                </c:pt>
                <c:pt idx="117">
                  <c:v>5.8499999999999872</c:v>
                </c:pt>
                <c:pt idx="118">
                  <c:v>5.899999999999987</c:v>
                </c:pt>
                <c:pt idx="119">
                  <c:v>5.9499999999999869</c:v>
                </c:pt>
                <c:pt idx="120">
                  <c:v>5.9999999999999867</c:v>
                </c:pt>
                <c:pt idx="121">
                  <c:v>6.0499999999999865</c:v>
                </c:pt>
                <c:pt idx="122">
                  <c:v>6.0999999999999863</c:v>
                </c:pt>
                <c:pt idx="123">
                  <c:v>6.1499999999999861</c:v>
                </c:pt>
                <c:pt idx="124">
                  <c:v>6.199999999999986</c:v>
                </c:pt>
                <c:pt idx="125">
                  <c:v>6.2499999999999858</c:v>
                </c:pt>
                <c:pt idx="126">
                  <c:v>6.2999999999999856</c:v>
                </c:pt>
                <c:pt idx="127">
                  <c:v>6.3499999999999854</c:v>
                </c:pt>
                <c:pt idx="128">
                  <c:v>6.3999999999999853</c:v>
                </c:pt>
                <c:pt idx="129">
                  <c:v>6.4499999999999851</c:v>
                </c:pt>
                <c:pt idx="130">
                  <c:v>6.4999999999999849</c:v>
                </c:pt>
                <c:pt idx="131">
                  <c:v>6.5499999999999847</c:v>
                </c:pt>
                <c:pt idx="132">
                  <c:v>6.5999999999999845</c:v>
                </c:pt>
                <c:pt idx="133">
                  <c:v>6.6499999999999844</c:v>
                </c:pt>
                <c:pt idx="134">
                  <c:v>6.6999999999999842</c:v>
                </c:pt>
                <c:pt idx="135">
                  <c:v>6.749999999999984</c:v>
                </c:pt>
                <c:pt idx="136">
                  <c:v>6.7999999999999838</c:v>
                </c:pt>
                <c:pt idx="137">
                  <c:v>6.8499999999999837</c:v>
                </c:pt>
                <c:pt idx="138">
                  <c:v>6.8999999999999835</c:v>
                </c:pt>
                <c:pt idx="139">
                  <c:v>6.9499999999999833</c:v>
                </c:pt>
                <c:pt idx="140">
                  <c:v>6.9999999999999831</c:v>
                </c:pt>
                <c:pt idx="141">
                  <c:v>7.0499999999999829</c:v>
                </c:pt>
                <c:pt idx="142">
                  <c:v>7.0999999999999828</c:v>
                </c:pt>
                <c:pt idx="143">
                  <c:v>7.1499999999999826</c:v>
                </c:pt>
                <c:pt idx="144">
                  <c:v>7.1999999999999824</c:v>
                </c:pt>
                <c:pt idx="145">
                  <c:v>7.2499999999999822</c:v>
                </c:pt>
                <c:pt idx="146">
                  <c:v>7.2999999999999821</c:v>
                </c:pt>
                <c:pt idx="147">
                  <c:v>7.3499999999999819</c:v>
                </c:pt>
                <c:pt idx="148">
                  <c:v>7.3999999999999817</c:v>
                </c:pt>
                <c:pt idx="149">
                  <c:v>7.4499999999999815</c:v>
                </c:pt>
                <c:pt idx="150">
                  <c:v>7.4999999999999813</c:v>
                </c:pt>
                <c:pt idx="151">
                  <c:v>7.5499999999999812</c:v>
                </c:pt>
                <c:pt idx="152">
                  <c:v>7.599999999999981</c:v>
                </c:pt>
                <c:pt idx="153">
                  <c:v>7.6499999999999808</c:v>
                </c:pt>
                <c:pt idx="154">
                  <c:v>7.6999999999999806</c:v>
                </c:pt>
                <c:pt idx="155">
                  <c:v>7.7499999999999805</c:v>
                </c:pt>
                <c:pt idx="156">
                  <c:v>7.7999999999999803</c:v>
                </c:pt>
                <c:pt idx="157">
                  <c:v>7.8499999999999801</c:v>
                </c:pt>
                <c:pt idx="158">
                  <c:v>7.8999999999999799</c:v>
                </c:pt>
                <c:pt idx="159">
                  <c:v>7.9499999999999797</c:v>
                </c:pt>
                <c:pt idx="160">
                  <c:v>7.9999999999999796</c:v>
                </c:pt>
                <c:pt idx="161">
                  <c:v>8.0499999999999794</c:v>
                </c:pt>
                <c:pt idx="162">
                  <c:v>8.0999999999999801</c:v>
                </c:pt>
                <c:pt idx="163">
                  <c:v>8.1499999999999808</c:v>
                </c:pt>
                <c:pt idx="164">
                  <c:v>8.1999999999999815</c:v>
                </c:pt>
                <c:pt idx="165">
                  <c:v>8.2499999999999822</c:v>
                </c:pt>
                <c:pt idx="166">
                  <c:v>8.2999999999999829</c:v>
                </c:pt>
                <c:pt idx="167">
                  <c:v>8.3499999999999837</c:v>
                </c:pt>
                <c:pt idx="168">
                  <c:v>8.3999999999999844</c:v>
                </c:pt>
                <c:pt idx="169">
                  <c:v>8.4499999999999851</c:v>
                </c:pt>
                <c:pt idx="170">
                  <c:v>8.4999999999999858</c:v>
                </c:pt>
                <c:pt idx="171">
                  <c:v>8.5499999999999865</c:v>
                </c:pt>
                <c:pt idx="172">
                  <c:v>8.5999999999999872</c:v>
                </c:pt>
                <c:pt idx="173">
                  <c:v>8.6499999999999879</c:v>
                </c:pt>
                <c:pt idx="174">
                  <c:v>8.6999999999999886</c:v>
                </c:pt>
                <c:pt idx="175">
                  <c:v>8.7499999999999893</c:v>
                </c:pt>
                <c:pt idx="176">
                  <c:v>8.7999999999999901</c:v>
                </c:pt>
                <c:pt idx="177">
                  <c:v>8.8499999999999908</c:v>
                </c:pt>
                <c:pt idx="178">
                  <c:v>8.8999999999999915</c:v>
                </c:pt>
                <c:pt idx="179">
                  <c:v>8.9499999999999922</c:v>
                </c:pt>
                <c:pt idx="180">
                  <c:v>8.9999999999999929</c:v>
                </c:pt>
                <c:pt idx="181">
                  <c:v>9.0499999999999936</c:v>
                </c:pt>
                <c:pt idx="182">
                  <c:v>9.0999999999999943</c:v>
                </c:pt>
                <c:pt idx="183">
                  <c:v>9.149999999999995</c:v>
                </c:pt>
                <c:pt idx="184">
                  <c:v>9.1999999999999957</c:v>
                </c:pt>
                <c:pt idx="185">
                  <c:v>9.2499999999999964</c:v>
                </c:pt>
                <c:pt idx="186">
                  <c:v>9.2999999999999972</c:v>
                </c:pt>
                <c:pt idx="187">
                  <c:v>9.3499999999999979</c:v>
                </c:pt>
                <c:pt idx="188">
                  <c:v>9.3999999999999986</c:v>
                </c:pt>
                <c:pt idx="189">
                  <c:v>9.4499999999999993</c:v>
                </c:pt>
                <c:pt idx="190">
                  <c:v>9.5</c:v>
                </c:pt>
                <c:pt idx="191">
                  <c:v>9.5500000000000007</c:v>
                </c:pt>
                <c:pt idx="192">
                  <c:v>9.6000000000000014</c:v>
                </c:pt>
                <c:pt idx="193">
                  <c:v>9.6500000000000021</c:v>
                </c:pt>
                <c:pt idx="194">
                  <c:v>9.7000000000000028</c:v>
                </c:pt>
                <c:pt idx="195">
                  <c:v>9.7500000000000036</c:v>
                </c:pt>
                <c:pt idx="196">
                  <c:v>9.8000000000000043</c:v>
                </c:pt>
                <c:pt idx="197">
                  <c:v>9.850000000000005</c:v>
                </c:pt>
                <c:pt idx="198">
                  <c:v>9.9000000000000057</c:v>
                </c:pt>
                <c:pt idx="199">
                  <c:v>9.9500000000000064</c:v>
                </c:pt>
                <c:pt idx="200">
                  <c:v>10.000000000000007</c:v>
                </c:pt>
                <c:pt idx="201">
                  <c:v>10.050000000000008</c:v>
                </c:pt>
                <c:pt idx="202">
                  <c:v>10.100000000000009</c:v>
                </c:pt>
                <c:pt idx="203">
                  <c:v>10.150000000000009</c:v>
                </c:pt>
                <c:pt idx="204">
                  <c:v>10.20000000000001</c:v>
                </c:pt>
                <c:pt idx="205">
                  <c:v>10.250000000000011</c:v>
                </c:pt>
                <c:pt idx="206">
                  <c:v>10.300000000000011</c:v>
                </c:pt>
                <c:pt idx="207">
                  <c:v>10.350000000000012</c:v>
                </c:pt>
                <c:pt idx="208">
                  <c:v>10.400000000000013</c:v>
                </c:pt>
                <c:pt idx="209">
                  <c:v>10.450000000000014</c:v>
                </c:pt>
                <c:pt idx="210">
                  <c:v>10.500000000000014</c:v>
                </c:pt>
                <c:pt idx="211">
                  <c:v>10.550000000000015</c:v>
                </c:pt>
                <c:pt idx="212">
                  <c:v>10.600000000000016</c:v>
                </c:pt>
                <c:pt idx="213">
                  <c:v>10.650000000000016</c:v>
                </c:pt>
                <c:pt idx="214">
                  <c:v>10.700000000000017</c:v>
                </c:pt>
                <c:pt idx="215">
                  <c:v>10.750000000000018</c:v>
                </c:pt>
                <c:pt idx="216">
                  <c:v>10.800000000000018</c:v>
                </c:pt>
                <c:pt idx="217">
                  <c:v>10.850000000000019</c:v>
                </c:pt>
                <c:pt idx="218">
                  <c:v>10.90000000000002</c:v>
                </c:pt>
                <c:pt idx="219">
                  <c:v>10.950000000000021</c:v>
                </c:pt>
                <c:pt idx="220">
                  <c:v>11.000000000000021</c:v>
                </c:pt>
                <c:pt idx="221">
                  <c:v>11.050000000000022</c:v>
                </c:pt>
                <c:pt idx="222">
                  <c:v>11.100000000000023</c:v>
                </c:pt>
                <c:pt idx="223">
                  <c:v>11.150000000000023</c:v>
                </c:pt>
                <c:pt idx="224">
                  <c:v>11.200000000000024</c:v>
                </c:pt>
                <c:pt idx="225">
                  <c:v>11.250000000000025</c:v>
                </c:pt>
                <c:pt idx="226">
                  <c:v>11.300000000000026</c:v>
                </c:pt>
                <c:pt idx="227">
                  <c:v>11.350000000000026</c:v>
                </c:pt>
                <c:pt idx="228">
                  <c:v>11.400000000000027</c:v>
                </c:pt>
                <c:pt idx="229">
                  <c:v>11.450000000000028</c:v>
                </c:pt>
                <c:pt idx="230">
                  <c:v>11.500000000000028</c:v>
                </c:pt>
                <c:pt idx="231">
                  <c:v>11.550000000000029</c:v>
                </c:pt>
                <c:pt idx="232">
                  <c:v>11.60000000000003</c:v>
                </c:pt>
                <c:pt idx="233">
                  <c:v>11.650000000000031</c:v>
                </c:pt>
                <c:pt idx="234">
                  <c:v>11.700000000000031</c:v>
                </c:pt>
                <c:pt idx="235">
                  <c:v>11.750000000000032</c:v>
                </c:pt>
                <c:pt idx="236">
                  <c:v>11.800000000000033</c:v>
                </c:pt>
                <c:pt idx="237">
                  <c:v>11.850000000000033</c:v>
                </c:pt>
                <c:pt idx="238">
                  <c:v>11.900000000000034</c:v>
                </c:pt>
                <c:pt idx="239">
                  <c:v>11.950000000000035</c:v>
                </c:pt>
                <c:pt idx="240">
                  <c:v>12.000000000000036</c:v>
                </c:pt>
                <c:pt idx="241">
                  <c:v>12.050000000000036</c:v>
                </c:pt>
                <c:pt idx="242">
                  <c:v>12.100000000000037</c:v>
                </c:pt>
                <c:pt idx="243">
                  <c:v>12.150000000000038</c:v>
                </c:pt>
                <c:pt idx="244">
                  <c:v>12.200000000000038</c:v>
                </c:pt>
                <c:pt idx="245">
                  <c:v>12.250000000000039</c:v>
                </c:pt>
                <c:pt idx="246">
                  <c:v>12.30000000000004</c:v>
                </c:pt>
                <c:pt idx="247">
                  <c:v>12.350000000000041</c:v>
                </c:pt>
                <c:pt idx="248">
                  <c:v>12.400000000000041</c:v>
                </c:pt>
                <c:pt idx="249">
                  <c:v>12.450000000000042</c:v>
                </c:pt>
                <c:pt idx="250">
                  <c:v>12.500000000000043</c:v>
                </c:pt>
                <c:pt idx="251">
                  <c:v>12.550000000000043</c:v>
                </c:pt>
                <c:pt idx="252">
                  <c:v>12.600000000000044</c:v>
                </c:pt>
                <c:pt idx="253">
                  <c:v>12.650000000000045</c:v>
                </c:pt>
                <c:pt idx="254">
                  <c:v>12.700000000000045</c:v>
                </c:pt>
                <c:pt idx="255">
                  <c:v>12.750000000000046</c:v>
                </c:pt>
                <c:pt idx="256">
                  <c:v>12.800000000000047</c:v>
                </c:pt>
                <c:pt idx="257">
                  <c:v>12.850000000000048</c:v>
                </c:pt>
                <c:pt idx="258">
                  <c:v>12.900000000000048</c:v>
                </c:pt>
                <c:pt idx="259">
                  <c:v>12.950000000000049</c:v>
                </c:pt>
                <c:pt idx="260">
                  <c:v>13.00000000000005</c:v>
                </c:pt>
                <c:pt idx="261">
                  <c:v>13.05000000000005</c:v>
                </c:pt>
                <c:pt idx="262">
                  <c:v>13.100000000000051</c:v>
                </c:pt>
                <c:pt idx="263">
                  <c:v>13.150000000000052</c:v>
                </c:pt>
                <c:pt idx="264">
                  <c:v>13.200000000000053</c:v>
                </c:pt>
                <c:pt idx="265">
                  <c:v>13.250000000000053</c:v>
                </c:pt>
                <c:pt idx="266">
                  <c:v>13.300000000000054</c:v>
                </c:pt>
                <c:pt idx="267">
                  <c:v>13.350000000000055</c:v>
                </c:pt>
                <c:pt idx="268">
                  <c:v>13.400000000000055</c:v>
                </c:pt>
                <c:pt idx="269">
                  <c:v>13.450000000000056</c:v>
                </c:pt>
                <c:pt idx="270">
                  <c:v>13.500000000000057</c:v>
                </c:pt>
                <c:pt idx="271">
                  <c:v>13.550000000000058</c:v>
                </c:pt>
                <c:pt idx="272">
                  <c:v>13.600000000000058</c:v>
                </c:pt>
                <c:pt idx="273">
                  <c:v>13.650000000000059</c:v>
                </c:pt>
                <c:pt idx="274">
                  <c:v>13.70000000000006</c:v>
                </c:pt>
                <c:pt idx="275">
                  <c:v>13.75000000000006</c:v>
                </c:pt>
                <c:pt idx="276">
                  <c:v>13.800000000000061</c:v>
                </c:pt>
                <c:pt idx="277">
                  <c:v>13.850000000000062</c:v>
                </c:pt>
                <c:pt idx="278">
                  <c:v>13.900000000000063</c:v>
                </c:pt>
                <c:pt idx="279">
                  <c:v>13.950000000000063</c:v>
                </c:pt>
                <c:pt idx="280">
                  <c:v>14.000000000000064</c:v>
                </c:pt>
                <c:pt idx="281">
                  <c:v>14.050000000000065</c:v>
                </c:pt>
                <c:pt idx="282">
                  <c:v>14.100000000000065</c:v>
                </c:pt>
                <c:pt idx="283">
                  <c:v>14.150000000000066</c:v>
                </c:pt>
                <c:pt idx="284">
                  <c:v>14.200000000000067</c:v>
                </c:pt>
                <c:pt idx="285">
                  <c:v>14.250000000000068</c:v>
                </c:pt>
                <c:pt idx="286">
                  <c:v>14.300000000000068</c:v>
                </c:pt>
                <c:pt idx="287">
                  <c:v>14.350000000000069</c:v>
                </c:pt>
                <c:pt idx="288">
                  <c:v>14.40000000000007</c:v>
                </c:pt>
                <c:pt idx="289">
                  <c:v>14.45000000000007</c:v>
                </c:pt>
                <c:pt idx="290">
                  <c:v>14.500000000000071</c:v>
                </c:pt>
                <c:pt idx="291">
                  <c:v>14.550000000000072</c:v>
                </c:pt>
                <c:pt idx="292">
                  <c:v>14.600000000000072</c:v>
                </c:pt>
                <c:pt idx="293">
                  <c:v>14.650000000000073</c:v>
                </c:pt>
                <c:pt idx="294">
                  <c:v>14.700000000000074</c:v>
                </c:pt>
                <c:pt idx="295">
                  <c:v>14.750000000000075</c:v>
                </c:pt>
                <c:pt idx="296">
                  <c:v>14.800000000000075</c:v>
                </c:pt>
                <c:pt idx="297">
                  <c:v>14.850000000000076</c:v>
                </c:pt>
                <c:pt idx="298">
                  <c:v>14.900000000000077</c:v>
                </c:pt>
                <c:pt idx="299">
                  <c:v>14.950000000000077</c:v>
                </c:pt>
                <c:pt idx="300">
                  <c:v>15.000000000000078</c:v>
                </c:pt>
                <c:pt idx="301">
                  <c:v>15.050000000000079</c:v>
                </c:pt>
                <c:pt idx="302">
                  <c:v>15.10000000000008</c:v>
                </c:pt>
                <c:pt idx="303">
                  <c:v>15.15000000000008</c:v>
                </c:pt>
                <c:pt idx="304">
                  <c:v>15.200000000000081</c:v>
                </c:pt>
                <c:pt idx="305">
                  <c:v>15.250000000000082</c:v>
                </c:pt>
                <c:pt idx="306">
                  <c:v>15.300000000000082</c:v>
                </c:pt>
                <c:pt idx="307">
                  <c:v>15.350000000000083</c:v>
                </c:pt>
                <c:pt idx="308">
                  <c:v>15.400000000000084</c:v>
                </c:pt>
                <c:pt idx="309">
                  <c:v>15.450000000000085</c:v>
                </c:pt>
                <c:pt idx="310">
                  <c:v>15.500000000000085</c:v>
                </c:pt>
                <c:pt idx="311">
                  <c:v>15.550000000000086</c:v>
                </c:pt>
                <c:pt idx="312">
                  <c:v>15.600000000000087</c:v>
                </c:pt>
                <c:pt idx="313">
                  <c:v>15.650000000000087</c:v>
                </c:pt>
                <c:pt idx="314">
                  <c:v>15.700000000000088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F69-5C4A-9908-A92CB5A44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718608"/>
        <c:axId val="496719264"/>
      </c:scatterChart>
      <c:valAx>
        <c:axId val="496718608"/>
        <c:scaling>
          <c:orientation val="minMax"/>
          <c:max val="15"/>
          <c:min val="0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CPT Point (MPa)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96719264"/>
        <c:crosses val="autoZero"/>
        <c:crossBetween val="midCat"/>
        <c:majorUnit val="5"/>
      </c:valAx>
      <c:valAx>
        <c:axId val="496719264"/>
        <c:scaling>
          <c:orientation val="maxMin"/>
          <c:max val="18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Depth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967186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446503414821842"/>
          <c:y val="0.110900268900211"/>
          <c:w val="0.67101489604375364"/>
          <c:h val="0.85779858859554325"/>
        </c:manualLayout>
      </c:layout>
      <c:scatterChart>
        <c:scatterStyle val="lineMarker"/>
        <c:varyColors val="0"/>
        <c:ser>
          <c:idx val="0"/>
          <c:order val="0"/>
          <c:tx>
            <c:v>SPT 1</c:v>
          </c:tx>
          <c:spPr>
            <a:ln w="1270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'ej 5.3'!$B$8:$B$18</c:f>
              <c:numCache>
                <c:formatCode>General</c:formatCode>
                <c:ptCount val="11"/>
                <c:pt idx="0">
                  <c:v>30</c:v>
                </c:pt>
                <c:pt idx="1">
                  <c:v>14</c:v>
                </c:pt>
                <c:pt idx="2">
                  <c:v>14</c:v>
                </c:pt>
                <c:pt idx="3">
                  <c:v>19</c:v>
                </c:pt>
                <c:pt idx="4">
                  <c:v>14</c:v>
                </c:pt>
                <c:pt idx="5">
                  <c:v>20</c:v>
                </c:pt>
                <c:pt idx="6">
                  <c:v>22</c:v>
                </c:pt>
                <c:pt idx="7">
                  <c:v>32</c:v>
                </c:pt>
                <c:pt idx="8">
                  <c:v>16</c:v>
                </c:pt>
                <c:pt idx="9">
                  <c:v>45</c:v>
                </c:pt>
                <c:pt idx="10">
                  <c:v>41</c:v>
                </c:pt>
              </c:numCache>
            </c:numRef>
          </c:xVal>
          <c:yVal>
            <c:numRef>
              <c:f>'ej 5.3'!$A$8:$A$18</c:f>
              <c:numCache>
                <c:formatCode>General</c:formatCode>
                <c:ptCount val="11"/>
                <c:pt idx="0">
                  <c:v>0.6</c:v>
                </c:pt>
                <c:pt idx="1">
                  <c:v>1.2</c:v>
                </c:pt>
                <c:pt idx="2">
                  <c:v>1.8</c:v>
                </c:pt>
                <c:pt idx="3">
                  <c:v>2.4</c:v>
                </c:pt>
                <c:pt idx="4">
                  <c:v>4.0999999999999996</c:v>
                </c:pt>
                <c:pt idx="5">
                  <c:v>5.7</c:v>
                </c:pt>
                <c:pt idx="6">
                  <c:v>7.2</c:v>
                </c:pt>
                <c:pt idx="7">
                  <c:v>8.6999999999999993</c:v>
                </c:pt>
                <c:pt idx="8">
                  <c:v>10.199999999999999</c:v>
                </c:pt>
                <c:pt idx="9">
                  <c:v>11.7</c:v>
                </c:pt>
                <c:pt idx="10">
                  <c:v>13.3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7A1-7142-BFD1-FE4589448B83}"/>
            </c:ext>
          </c:extLst>
        </c:ser>
        <c:ser>
          <c:idx val="1"/>
          <c:order val="1"/>
          <c:tx>
            <c:v>SPT 2</c:v>
          </c:tx>
          <c:spPr>
            <a:ln w="12700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'ej 5.3'!$B$20:$B$21</c:f>
              <c:numCache>
                <c:formatCode>General</c:formatCode>
                <c:ptCount val="2"/>
                <c:pt idx="0">
                  <c:v>36</c:v>
                </c:pt>
                <c:pt idx="1">
                  <c:v>43</c:v>
                </c:pt>
              </c:numCache>
            </c:numRef>
          </c:xVal>
          <c:yVal>
            <c:numRef>
              <c:f>'ej 5.3'!$A$20:$A$21</c:f>
              <c:numCache>
                <c:formatCode>General</c:formatCode>
                <c:ptCount val="2"/>
                <c:pt idx="0">
                  <c:v>6.7</c:v>
                </c:pt>
                <c:pt idx="1">
                  <c:v>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7A1-7142-BFD1-FE4589448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718608"/>
        <c:axId val="496719264"/>
      </c:scatterChart>
      <c:valAx>
        <c:axId val="49671860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SPT (blows/300mm)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96719264"/>
        <c:crosses val="autoZero"/>
        <c:crossBetween val="midCat"/>
      </c:valAx>
      <c:valAx>
        <c:axId val="496719264"/>
        <c:scaling>
          <c:orientation val="maxMin"/>
          <c:max val="18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Depth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96718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852915309670057"/>
          <c:y val="0.90058186660490958"/>
          <c:w val="0.29784082945129237"/>
          <c:h val="8.731665894704338E-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emf"/><Relationship Id="rId2" Type="http://schemas.openxmlformats.org/officeDocument/2006/relationships/image" Target="../media/image22.emf"/><Relationship Id="rId1" Type="http://schemas.openxmlformats.org/officeDocument/2006/relationships/image" Target="../media/image2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.emf"/><Relationship Id="rId2" Type="http://schemas.openxmlformats.org/officeDocument/2006/relationships/image" Target="../media/image27.emf"/><Relationship Id="rId1" Type="http://schemas.openxmlformats.org/officeDocument/2006/relationships/image" Target="../media/image26.emf"/><Relationship Id="rId6" Type="http://schemas.openxmlformats.org/officeDocument/2006/relationships/image" Target="../media/image31.emf"/><Relationship Id="rId5" Type="http://schemas.openxmlformats.org/officeDocument/2006/relationships/image" Target="../media/image30.emf"/><Relationship Id="rId4" Type="http://schemas.openxmlformats.org/officeDocument/2006/relationships/image" Target="../media/image29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7" Type="http://schemas.openxmlformats.org/officeDocument/2006/relationships/image" Target="../media/image7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emf"/><Relationship Id="rId2" Type="http://schemas.openxmlformats.org/officeDocument/2006/relationships/image" Target="../media/image12.emf"/><Relationship Id="rId1" Type="http://schemas.openxmlformats.org/officeDocument/2006/relationships/image" Target="../media/image11.emf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emf"/><Relationship Id="rId2" Type="http://schemas.openxmlformats.org/officeDocument/2006/relationships/image" Target="../media/image14.png"/><Relationship Id="rId1" Type="http://schemas.openxmlformats.org/officeDocument/2006/relationships/image" Target="../media/image15.emf"/><Relationship Id="rId6" Type="http://schemas.openxmlformats.org/officeDocument/2006/relationships/image" Target="../media/image16.png"/><Relationship Id="rId5" Type="http://schemas.openxmlformats.org/officeDocument/2006/relationships/customXml" Target="../ink/ink1.xml"/><Relationship Id="rId4" Type="http://schemas.openxmlformats.org/officeDocument/2006/relationships/image" Target="../media/image17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emf"/><Relationship Id="rId2" Type="http://schemas.openxmlformats.org/officeDocument/2006/relationships/image" Target="../media/image18.emf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emf"/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emf"/><Relationship Id="rId2" Type="http://schemas.openxmlformats.org/officeDocument/2006/relationships/image" Target="../media/image22.emf"/><Relationship Id="rId1" Type="http://schemas.openxmlformats.org/officeDocument/2006/relationships/image" Target="../media/image21.jpeg"/><Relationship Id="rId4" Type="http://schemas.openxmlformats.org/officeDocument/2006/relationships/image" Target="../media/image2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89045</xdr:colOff>
      <xdr:row>0</xdr:row>
      <xdr:rowOff>141113</xdr:rowOff>
    </xdr:from>
    <xdr:to>
      <xdr:col>10</xdr:col>
      <xdr:colOff>717176</xdr:colOff>
      <xdr:row>29</xdr:row>
      <xdr:rowOff>163352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7F30C3-3CBD-4D9F-8C77-811F5E6CB1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2313"/>
        <a:stretch/>
      </xdr:blipFill>
      <xdr:spPr>
        <a:xfrm>
          <a:off x="89045" y="141113"/>
          <a:ext cx="9249190" cy="5655063"/>
        </a:xfrm>
        <a:prstGeom prst="rect">
          <a:avLst/>
        </a:prstGeom>
      </xdr:spPr>
    </xdr:pic>
    <xdr:clientData/>
  </xdr:twoCellAnchor>
  <xdr:twoCellAnchor>
    <xdr:from>
      <xdr:col>9</xdr:col>
      <xdr:colOff>335205</xdr:colOff>
      <xdr:row>60</xdr:row>
      <xdr:rowOff>67236</xdr:rowOff>
    </xdr:from>
    <xdr:to>
      <xdr:col>14</xdr:col>
      <xdr:colOff>640005</xdr:colOff>
      <xdr:row>84</xdr:row>
      <xdr:rowOff>81953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8432B97-8966-417D-9C74-244D39B422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480060</xdr:colOff>
      <xdr:row>37</xdr:row>
      <xdr:rowOff>161858</xdr:rowOff>
    </xdr:from>
    <xdr:to>
      <xdr:col>8</xdr:col>
      <xdr:colOff>30480</xdr:colOff>
      <xdr:row>39</xdr:row>
      <xdr:rowOff>30480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0B0BF35-9A64-79F5-B8F8-B2C84200F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15270"/>
        <a:stretch/>
      </xdr:blipFill>
      <xdr:spPr>
        <a:xfrm>
          <a:off x="4107180" y="1350578"/>
          <a:ext cx="2964180" cy="26486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4</xdr:col>
      <xdr:colOff>480060</xdr:colOff>
      <xdr:row>34</xdr:row>
      <xdr:rowOff>179990</xdr:rowOff>
    </xdr:from>
    <xdr:to>
      <xdr:col>6</xdr:col>
      <xdr:colOff>60960</xdr:colOff>
      <xdr:row>37</xdr:row>
      <xdr:rowOff>36353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C808FE2-D166-7F0F-0554-9898AB209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93820" y="774350"/>
          <a:ext cx="1287780" cy="45072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9</xdr:col>
      <xdr:colOff>298823</xdr:colOff>
      <xdr:row>43</xdr:row>
      <xdr:rowOff>28129</xdr:rowOff>
    </xdr:from>
    <xdr:to>
      <xdr:col>16</xdr:col>
      <xdr:colOff>791882</xdr:colOff>
      <xdr:row>60</xdr:row>
      <xdr:rowOff>476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47AD884-B894-4A90-882D-54C158719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83176" y="8410129"/>
          <a:ext cx="6350000" cy="327434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152400</xdr:rowOff>
    </xdr:from>
    <xdr:to>
      <xdr:col>9</xdr:col>
      <xdr:colOff>693420</xdr:colOff>
      <xdr:row>62</xdr:row>
      <xdr:rowOff>140970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A75CC294-4BBD-7C45-8142-7D2C862A6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52400"/>
          <a:ext cx="6789420" cy="102247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8282</xdr:colOff>
      <xdr:row>2</xdr:row>
      <xdr:rowOff>173934</xdr:rowOff>
    </xdr:from>
    <xdr:to>
      <xdr:col>7</xdr:col>
      <xdr:colOff>389282</xdr:colOff>
      <xdr:row>8</xdr:row>
      <xdr:rowOff>157370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BB1F3668-2E7F-FD42-8E7E-75788F500844}"/>
            </a:ext>
          </a:extLst>
        </xdr:cNvPr>
        <xdr:cNvSpPr txBox="1"/>
      </xdr:nvSpPr>
      <xdr:spPr>
        <a:xfrm>
          <a:off x="490882" y="567634"/>
          <a:ext cx="3175000" cy="1037536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b"/>
        <a:lstStyle/>
        <a:p>
          <a:endParaRPr lang="es-AR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s-AR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s-AR" sz="1100" b="1">
              <a:solidFill>
                <a:schemeClr val="dk1"/>
              </a:solidFill>
              <a:latin typeface="+mn-lt"/>
              <a:ea typeface="+mn-ea"/>
              <a:cs typeface="+mn-cs"/>
            </a:rPr>
            <a:t>ID : Capacidad</a:t>
          </a:r>
          <a:r>
            <a:rPr lang="es-A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de carga admisible- Hansen</a:t>
          </a:r>
        </a:p>
        <a:p>
          <a:r>
            <a:rPr lang="es-A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Carga centrada </a:t>
          </a:r>
          <a:endParaRPr lang="es-AR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AR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30683</xdr:colOff>
      <xdr:row>3</xdr:row>
      <xdr:rowOff>26287</xdr:rowOff>
    </xdr:from>
    <xdr:to>
      <xdr:col>7</xdr:col>
      <xdr:colOff>321119</xdr:colOff>
      <xdr:row>6</xdr:row>
      <xdr:rowOff>42507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8F324B24-CA22-504B-B973-618BAB8E2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2874" t="14541"/>
        <a:stretch>
          <a:fillRect/>
        </a:stretch>
      </xdr:blipFill>
      <xdr:spPr>
        <a:xfrm>
          <a:off x="513283" y="597787"/>
          <a:ext cx="3119470" cy="5115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21</xdr:col>
      <xdr:colOff>330939</xdr:colOff>
      <xdr:row>2</xdr:row>
      <xdr:rowOff>122620</xdr:rowOff>
    </xdr:from>
    <xdr:to>
      <xdr:col>29</xdr:col>
      <xdr:colOff>540406</xdr:colOff>
      <xdr:row>15</xdr:row>
      <xdr:rowOff>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BFB93E4-6D5A-C540-B9A6-EF0B2AB54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32239" y="529020"/>
          <a:ext cx="5695867" cy="2151555"/>
        </a:xfrm>
        <a:prstGeom prst="rect">
          <a:avLst/>
        </a:prstGeom>
      </xdr:spPr>
    </xdr:pic>
    <xdr:clientData/>
  </xdr:twoCellAnchor>
  <xdr:twoCellAnchor editAs="oneCell">
    <xdr:from>
      <xdr:col>21</xdr:col>
      <xdr:colOff>385379</xdr:colOff>
      <xdr:row>16</xdr:row>
      <xdr:rowOff>83349</xdr:rowOff>
    </xdr:from>
    <xdr:to>
      <xdr:col>27</xdr:col>
      <xdr:colOff>553982</xdr:colOff>
      <xdr:row>21</xdr:row>
      <xdr:rowOff>84958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CC3D72-6F4B-7649-9190-2CF811F68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86679" y="2928149"/>
          <a:ext cx="4283402" cy="82710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559397</xdr:colOff>
      <xdr:row>3</xdr:row>
      <xdr:rowOff>9477</xdr:rowOff>
    </xdr:from>
    <xdr:to>
      <xdr:col>18</xdr:col>
      <xdr:colOff>563004</xdr:colOff>
      <xdr:row>28</xdr:row>
      <xdr:rowOff>78739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87F06E3-45E8-8B4B-8CF4-EC466477BBF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7233" y="578134"/>
          <a:ext cx="9416889" cy="4847740"/>
        </a:xfrm>
        <a:prstGeom prst="rect">
          <a:avLst/>
        </a:prstGeom>
      </xdr:spPr>
    </xdr:pic>
    <xdr:clientData/>
  </xdr:twoCellAnchor>
  <xdr:twoCellAnchor>
    <xdr:from>
      <xdr:col>8</xdr:col>
      <xdr:colOff>58375</xdr:colOff>
      <xdr:row>16</xdr:row>
      <xdr:rowOff>136198</xdr:rowOff>
    </xdr:from>
    <xdr:to>
      <xdr:col>20</xdr:col>
      <xdr:colOff>107189</xdr:colOff>
      <xdr:row>16</xdr:row>
      <xdr:rowOff>141977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5444BC22-D7D9-F040-86EA-8116070282DF}"/>
            </a:ext>
          </a:extLst>
        </xdr:cNvPr>
        <xdr:cNvCxnSpPr/>
      </xdr:nvCxnSpPr>
      <xdr:spPr>
        <a:xfrm flipV="1">
          <a:off x="7240056" y="3238145"/>
          <a:ext cx="10231292" cy="577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407000</xdr:colOff>
      <xdr:row>15</xdr:row>
      <xdr:rowOff>146323</xdr:rowOff>
    </xdr:from>
    <xdr:to>
      <xdr:col>14</xdr:col>
      <xdr:colOff>737873</xdr:colOff>
      <xdr:row>37</xdr:row>
      <xdr:rowOff>139964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5EDC056-5A84-6B4A-882D-53A87F3FF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99655" y="3034730"/>
          <a:ext cx="6411139" cy="4219482"/>
        </a:xfrm>
        <a:prstGeom prst="rect">
          <a:avLst/>
        </a:prstGeom>
      </xdr:spPr>
    </xdr:pic>
    <xdr:clientData/>
  </xdr:twoCellAnchor>
  <xdr:twoCellAnchor editAs="oneCell">
    <xdr:from>
      <xdr:col>7</xdr:col>
      <xdr:colOff>730531</xdr:colOff>
      <xdr:row>40</xdr:row>
      <xdr:rowOff>179823</xdr:rowOff>
    </xdr:from>
    <xdr:to>
      <xdr:col>12</xdr:col>
      <xdr:colOff>529254</xdr:colOff>
      <xdr:row>53</xdr:row>
      <xdr:rowOff>124778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7E71EC9-468F-9B43-9201-3BCF1CA21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60354" y="7867257"/>
          <a:ext cx="4238104" cy="242876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13</xdr:col>
      <xdr:colOff>56420</xdr:colOff>
      <xdr:row>56</xdr:row>
      <xdr:rowOff>100476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7358C7C-5349-5146-938C-D21F58183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518850" y="10362301"/>
          <a:ext cx="4495800" cy="482600"/>
        </a:xfrm>
        <a:prstGeom prst="rect">
          <a:avLst/>
        </a:prstGeom>
      </xdr:spPr>
    </xdr:pic>
    <xdr:clientData/>
  </xdr:twoCellAnchor>
  <xdr:twoCellAnchor editAs="oneCell">
    <xdr:from>
      <xdr:col>7</xdr:col>
      <xdr:colOff>812464</xdr:colOff>
      <xdr:row>58</xdr:row>
      <xdr:rowOff>176563</xdr:rowOff>
    </xdr:from>
    <xdr:to>
      <xdr:col>13</xdr:col>
      <xdr:colOff>277041</xdr:colOff>
      <xdr:row>61</xdr:row>
      <xdr:rowOff>63500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C109AED-1542-6E4B-BB64-C56CB822F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5400000">
          <a:off x="8676461" y="9182212"/>
          <a:ext cx="482600" cy="47244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13</xdr:col>
      <xdr:colOff>602707</xdr:colOff>
      <xdr:row>78</xdr:row>
      <xdr:rowOff>32043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E197445-DA43-4647-9495-8D18DAFAF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5400000">
          <a:off x="7528828" y="10947986"/>
          <a:ext cx="3111512" cy="5042087"/>
        </a:xfrm>
        <a:prstGeom prst="rect">
          <a:avLst/>
        </a:prstGeom>
      </xdr:spPr>
    </xdr:pic>
    <xdr:clientData/>
  </xdr:twoCellAnchor>
  <xdr:twoCellAnchor>
    <xdr:from>
      <xdr:col>8</xdr:col>
      <xdr:colOff>112390</xdr:colOff>
      <xdr:row>70</xdr:row>
      <xdr:rowOff>89911</xdr:rowOff>
    </xdr:from>
    <xdr:to>
      <xdr:col>20</xdr:col>
      <xdr:colOff>161204</xdr:colOff>
      <xdr:row>70</xdr:row>
      <xdr:rowOff>95690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B9CF2865-2793-CD49-AEA5-120B7604E890}"/>
            </a:ext>
          </a:extLst>
        </xdr:cNvPr>
        <xdr:cNvCxnSpPr/>
      </xdr:nvCxnSpPr>
      <xdr:spPr>
        <a:xfrm flipV="1">
          <a:off x="6675930" y="13531681"/>
          <a:ext cx="10231292" cy="577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279689</xdr:colOff>
      <xdr:row>58</xdr:row>
      <xdr:rowOff>122931</xdr:rowOff>
    </xdr:from>
    <xdr:to>
      <xdr:col>8</xdr:col>
      <xdr:colOff>793131</xdr:colOff>
      <xdr:row>87</xdr:row>
      <xdr:rowOff>11668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CAFDE2B-6989-BF45-ACB4-303AD02A1D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94367</xdr:colOff>
      <xdr:row>58</xdr:row>
      <xdr:rowOff>101839</xdr:rowOff>
    </xdr:from>
    <xdr:to>
      <xdr:col>12</xdr:col>
      <xdr:colOff>620509</xdr:colOff>
      <xdr:row>86</xdr:row>
      <xdr:rowOff>193776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065C852-B088-2E43-BD32-1DBF32211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372993</xdr:colOff>
      <xdr:row>109</xdr:row>
      <xdr:rowOff>152785</xdr:rowOff>
    </xdr:from>
    <xdr:to>
      <xdr:col>12</xdr:col>
      <xdr:colOff>48235</xdr:colOff>
      <xdr:row>138</xdr:row>
      <xdr:rowOff>47872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F31CD06-E677-884D-BD24-2A861E76E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179113</xdr:colOff>
      <xdr:row>109</xdr:row>
      <xdr:rowOff>152400</xdr:rowOff>
    </xdr:from>
    <xdr:to>
      <xdr:col>15</xdr:col>
      <xdr:colOff>705254</xdr:colOff>
      <xdr:row>138</xdr:row>
      <xdr:rowOff>47487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7EFBFA6D-86D5-DA49-8FA1-0FDCA252E3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806450</xdr:colOff>
      <xdr:row>39</xdr:row>
      <xdr:rowOff>168184</xdr:rowOff>
    </xdr:from>
    <xdr:to>
      <xdr:col>10</xdr:col>
      <xdr:colOff>766338</xdr:colOff>
      <xdr:row>56</xdr:row>
      <xdr:rowOff>10289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7DF0BBC-8060-FF5A-91BA-2863B577E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251450" y="7845334"/>
          <a:ext cx="4817638" cy="320760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30976</xdr:rowOff>
    </xdr:from>
    <xdr:to>
      <xdr:col>9</xdr:col>
      <xdr:colOff>711200</xdr:colOff>
      <xdr:row>4</xdr:row>
      <xdr:rowOff>85859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8A7FB55-0886-3F2E-6E15-82CE3623C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050" y="30976"/>
          <a:ext cx="9156700" cy="842283"/>
        </a:xfrm>
        <a:prstGeom prst="rect">
          <a:avLst/>
        </a:prstGeom>
      </xdr:spPr>
    </xdr:pic>
    <xdr:clientData/>
  </xdr:twoCellAnchor>
  <xdr:twoCellAnchor editAs="oneCell">
    <xdr:from>
      <xdr:col>0</xdr:col>
      <xdr:colOff>387350</xdr:colOff>
      <xdr:row>3</xdr:row>
      <xdr:rowOff>134928</xdr:rowOff>
    </xdr:from>
    <xdr:to>
      <xdr:col>9</xdr:col>
      <xdr:colOff>717550</xdr:colOff>
      <xdr:row>26</xdr:row>
      <xdr:rowOff>137297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EA34ACE4-C6C8-9DDB-6677-EB803551E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7350" y="725478"/>
          <a:ext cx="8794750" cy="45299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9</xdr:row>
      <xdr:rowOff>38100</xdr:rowOff>
    </xdr:from>
    <xdr:to>
      <xdr:col>11</xdr:col>
      <xdr:colOff>368300</xdr:colOff>
      <xdr:row>11</xdr:row>
      <xdr:rowOff>12700</xdr:rowOff>
    </xdr:to>
    <xdr:sp macro="" textlink="">
      <xdr:nvSpPr>
        <xdr:cNvPr id="2" name="Donut 1">
          <a:extLst>
            <a:ext uri="{FF2B5EF4-FFF2-40B4-BE49-F238E27FC236}">
              <a16:creationId xmlns:a16="http://schemas.microsoft.com/office/drawing/2014/main" id="{047C1E82-5195-4C44-B85B-ED1720ABAA8D}"/>
            </a:ext>
          </a:extLst>
        </xdr:cNvPr>
        <xdr:cNvSpPr/>
      </xdr:nvSpPr>
      <xdr:spPr>
        <a:xfrm>
          <a:off x="9080500" y="1917700"/>
          <a:ext cx="368300" cy="381000"/>
        </a:xfrm>
        <a:prstGeom prst="don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304800</xdr:colOff>
      <xdr:row>1</xdr:row>
      <xdr:rowOff>63500</xdr:rowOff>
    </xdr:from>
    <xdr:to>
      <xdr:col>4</xdr:col>
      <xdr:colOff>304800</xdr:colOff>
      <xdr:row>13</xdr:row>
      <xdr:rowOff>76200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7510085B-7E77-8948-898C-47715539C486}"/>
            </a:ext>
          </a:extLst>
        </xdr:cNvPr>
        <xdr:cNvCxnSpPr/>
      </xdr:nvCxnSpPr>
      <xdr:spPr>
        <a:xfrm>
          <a:off x="3606800" y="266700"/>
          <a:ext cx="0" cy="2298700"/>
        </a:xfrm>
        <a:prstGeom prst="line">
          <a:avLst/>
        </a:prstGeom>
        <a:ln w="15875"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774700</xdr:colOff>
      <xdr:row>23</xdr:row>
      <xdr:rowOff>76200</xdr:rowOff>
    </xdr:from>
    <xdr:to>
      <xdr:col>13</xdr:col>
      <xdr:colOff>711200</xdr:colOff>
      <xdr:row>55</xdr:row>
      <xdr:rowOff>88900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666E398-9F49-274E-B422-07147F3CE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2200" y="4800600"/>
          <a:ext cx="6540500" cy="65405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2</xdr:col>
      <xdr:colOff>139700</xdr:colOff>
      <xdr:row>29</xdr:row>
      <xdr:rowOff>165100</xdr:rowOff>
    </xdr:from>
    <xdr:to>
      <xdr:col>4</xdr:col>
      <xdr:colOff>241300</xdr:colOff>
      <xdr:row>32</xdr:row>
      <xdr:rowOff>63500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B7D6DA5-1F0C-3546-9235-BB62059C9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90700" y="6108700"/>
          <a:ext cx="1752600" cy="508000"/>
        </a:xfrm>
        <a:prstGeom prst="rect">
          <a:avLst/>
        </a:prstGeom>
      </xdr:spPr>
    </xdr:pic>
    <xdr:clientData/>
  </xdr:twoCellAnchor>
  <xdr:twoCellAnchor>
    <xdr:from>
      <xdr:col>4</xdr:col>
      <xdr:colOff>228600</xdr:colOff>
      <xdr:row>12</xdr:row>
      <xdr:rowOff>101600</xdr:rowOff>
    </xdr:from>
    <xdr:to>
      <xdr:col>4</xdr:col>
      <xdr:colOff>381000</xdr:colOff>
      <xdr:row>13</xdr:row>
      <xdr:rowOff>25400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473C6E50-088E-E340-8132-0639FA06264F}"/>
            </a:ext>
          </a:extLst>
        </xdr:cNvPr>
        <xdr:cNvSpPr/>
      </xdr:nvSpPr>
      <xdr:spPr>
        <a:xfrm>
          <a:off x="3530600" y="2387600"/>
          <a:ext cx="152400" cy="12700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228600</xdr:colOff>
      <xdr:row>8</xdr:row>
      <xdr:rowOff>165100</xdr:rowOff>
    </xdr:from>
    <xdr:to>
      <xdr:col>4</xdr:col>
      <xdr:colOff>381000</xdr:colOff>
      <xdr:row>9</xdr:row>
      <xdr:rowOff>76200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EA8C496F-F068-6B42-8B7C-3919676F49AF}"/>
            </a:ext>
          </a:extLst>
        </xdr:cNvPr>
        <xdr:cNvSpPr/>
      </xdr:nvSpPr>
      <xdr:spPr>
        <a:xfrm>
          <a:off x="3530600" y="1828800"/>
          <a:ext cx="152400" cy="12700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228600</xdr:colOff>
      <xdr:row>0</xdr:row>
      <xdr:rowOff>190500</xdr:rowOff>
    </xdr:from>
    <xdr:to>
      <xdr:col>4</xdr:col>
      <xdr:colOff>381000</xdr:colOff>
      <xdr:row>1</xdr:row>
      <xdr:rowOff>114300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5217937-549A-C648-A62F-B51AD03FAFB4}"/>
            </a:ext>
          </a:extLst>
        </xdr:cNvPr>
        <xdr:cNvSpPr/>
      </xdr:nvSpPr>
      <xdr:spPr>
        <a:xfrm>
          <a:off x="3530600" y="190500"/>
          <a:ext cx="152400" cy="12700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241300</xdr:colOff>
      <xdr:row>4</xdr:row>
      <xdr:rowOff>165100</xdr:rowOff>
    </xdr:from>
    <xdr:to>
      <xdr:col>4</xdr:col>
      <xdr:colOff>393700</xdr:colOff>
      <xdr:row>5</xdr:row>
      <xdr:rowOff>76200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AF55EBA-D944-B547-9247-E5DB5C12BA11}"/>
            </a:ext>
          </a:extLst>
        </xdr:cNvPr>
        <xdr:cNvSpPr/>
      </xdr:nvSpPr>
      <xdr:spPr>
        <a:xfrm>
          <a:off x="3543300" y="977900"/>
          <a:ext cx="152400" cy="12700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711200</xdr:colOff>
      <xdr:row>47</xdr:row>
      <xdr:rowOff>114300</xdr:rowOff>
    </xdr:from>
    <xdr:to>
      <xdr:col>9</xdr:col>
      <xdr:colOff>711200</xdr:colOff>
      <xdr:row>49</xdr:row>
      <xdr:rowOff>12700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051E2EE-E092-8C49-BA4C-939ED40E1EE9}"/>
            </a:ext>
          </a:extLst>
        </xdr:cNvPr>
        <xdr:cNvSpPr txBox="1"/>
      </xdr:nvSpPr>
      <xdr:spPr>
        <a:xfrm>
          <a:off x="7315200" y="9715500"/>
          <a:ext cx="8255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rgbClr val="FF0000"/>
              </a:solidFill>
            </a:rPr>
            <a:t>5m</a:t>
          </a:r>
        </a:p>
      </xdr:txBody>
    </xdr:sp>
    <xdr:clientData/>
  </xdr:twoCellAnchor>
  <xdr:twoCellAnchor>
    <xdr:from>
      <xdr:col>1</xdr:col>
      <xdr:colOff>88900</xdr:colOff>
      <xdr:row>19</xdr:row>
      <xdr:rowOff>190500</xdr:rowOff>
    </xdr:from>
    <xdr:to>
      <xdr:col>9</xdr:col>
      <xdr:colOff>50800</xdr:colOff>
      <xdr:row>26</xdr:row>
      <xdr:rowOff>190500</xdr:rowOff>
    </xdr:to>
    <xdr:sp macro="" textlink="">
      <xdr:nvSpPr>
        <xdr:cNvPr id="14" name="Frame 13">
          <a:extLst>
            <a:ext uri="{FF2B5EF4-FFF2-40B4-BE49-F238E27FC236}">
              <a16:creationId xmlns:a16="http://schemas.microsoft.com/office/drawing/2014/main" id="{9510D58A-A79C-BE40-B385-FABB42C5D4E0}"/>
            </a:ext>
          </a:extLst>
        </xdr:cNvPr>
        <xdr:cNvSpPr/>
      </xdr:nvSpPr>
      <xdr:spPr>
        <a:xfrm>
          <a:off x="914400" y="4102100"/>
          <a:ext cx="6565900" cy="1422400"/>
        </a:xfrm>
        <a:prstGeom prst="frame">
          <a:avLst>
            <a:gd name="adj1" fmla="val 1786"/>
          </a:avLst>
        </a:prstGeom>
        <a:solidFill>
          <a:schemeClr val="tx1"/>
        </a:solidFill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5</xdr:col>
      <xdr:colOff>800100</xdr:colOff>
      <xdr:row>56</xdr:row>
      <xdr:rowOff>139700</xdr:rowOff>
    </xdr:from>
    <xdr:to>
      <xdr:col>13</xdr:col>
      <xdr:colOff>736600</xdr:colOff>
      <xdr:row>88</xdr:row>
      <xdr:rowOff>152400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5661337-F086-364C-8F51-60C11B5F0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27600" y="11595100"/>
          <a:ext cx="6540500" cy="6540500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8</xdr:col>
      <xdr:colOff>812800</xdr:colOff>
      <xdr:row>80</xdr:row>
      <xdr:rowOff>139700</xdr:rowOff>
    </xdr:from>
    <xdr:to>
      <xdr:col>9</xdr:col>
      <xdr:colOff>812800</xdr:colOff>
      <xdr:row>82</xdr:row>
      <xdr:rowOff>38100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5110D8D-EBB3-EB42-9418-10451148568B}"/>
            </a:ext>
          </a:extLst>
        </xdr:cNvPr>
        <xdr:cNvSpPr txBox="1"/>
      </xdr:nvSpPr>
      <xdr:spPr>
        <a:xfrm>
          <a:off x="7416800" y="16471900"/>
          <a:ext cx="8255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rgbClr val="FF0000"/>
              </a:solidFill>
            </a:rPr>
            <a:t>5m</a:t>
          </a:r>
        </a:p>
      </xdr:txBody>
    </xdr:sp>
    <xdr:clientData/>
  </xdr:twoCellAnchor>
  <xdr:twoCellAnchor>
    <xdr:from>
      <xdr:col>9</xdr:col>
      <xdr:colOff>25400</xdr:colOff>
      <xdr:row>35</xdr:row>
      <xdr:rowOff>88900</xdr:rowOff>
    </xdr:from>
    <xdr:to>
      <xdr:col>9</xdr:col>
      <xdr:colOff>177800</xdr:colOff>
      <xdr:row>36</xdr:row>
      <xdr:rowOff>12700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AB1BFC4E-3D11-0C41-B5EC-6A83D6194F8B}"/>
            </a:ext>
          </a:extLst>
        </xdr:cNvPr>
        <xdr:cNvSpPr/>
      </xdr:nvSpPr>
      <xdr:spPr>
        <a:xfrm>
          <a:off x="7454900" y="7251700"/>
          <a:ext cx="152400" cy="12700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25400</xdr:colOff>
      <xdr:row>36</xdr:row>
      <xdr:rowOff>50800</xdr:rowOff>
    </xdr:from>
    <xdr:to>
      <xdr:col>10</xdr:col>
      <xdr:colOff>25400</xdr:colOff>
      <xdr:row>37</xdr:row>
      <xdr:rowOff>152400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5021E9B-B01F-3145-A13F-0078A48D411A}"/>
            </a:ext>
          </a:extLst>
        </xdr:cNvPr>
        <xdr:cNvSpPr txBox="1"/>
      </xdr:nvSpPr>
      <xdr:spPr>
        <a:xfrm>
          <a:off x="7454900" y="7416800"/>
          <a:ext cx="8255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solidFill>
                <a:srgbClr val="FF0000"/>
              </a:solidFill>
            </a:rPr>
            <a:t>A</a:t>
          </a:r>
        </a:p>
      </xdr:txBody>
    </xdr:sp>
    <xdr:clientData/>
  </xdr:twoCellAnchor>
  <xdr:twoCellAnchor>
    <xdr:from>
      <xdr:col>1</xdr:col>
      <xdr:colOff>101600</xdr:colOff>
      <xdr:row>61</xdr:row>
      <xdr:rowOff>190500</xdr:rowOff>
    </xdr:from>
    <xdr:to>
      <xdr:col>9</xdr:col>
      <xdr:colOff>63500</xdr:colOff>
      <xdr:row>68</xdr:row>
      <xdr:rowOff>190500</xdr:rowOff>
    </xdr:to>
    <xdr:sp macro="" textlink="">
      <xdr:nvSpPr>
        <xdr:cNvPr id="20" name="Frame 19">
          <a:extLst>
            <a:ext uri="{FF2B5EF4-FFF2-40B4-BE49-F238E27FC236}">
              <a16:creationId xmlns:a16="http://schemas.microsoft.com/office/drawing/2014/main" id="{08528AFF-C346-844A-83BC-D133E750D00C}"/>
            </a:ext>
          </a:extLst>
        </xdr:cNvPr>
        <xdr:cNvSpPr/>
      </xdr:nvSpPr>
      <xdr:spPr>
        <a:xfrm>
          <a:off x="927100" y="12661900"/>
          <a:ext cx="6565900" cy="1422400"/>
        </a:xfrm>
        <a:prstGeom prst="frame">
          <a:avLst>
            <a:gd name="adj1" fmla="val 1786"/>
          </a:avLst>
        </a:prstGeom>
        <a:solidFill>
          <a:schemeClr val="tx1"/>
        </a:solidFill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38100</xdr:colOff>
      <xdr:row>68</xdr:row>
      <xdr:rowOff>165100</xdr:rowOff>
    </xdr:from>
    <xdr:to>
      <xdr:col>9</xdr:col>
      <xdr:colOff>190500</xdr:colOff>
      <xdr:row>69</xdr:row>
      <xdr:rowOff>101600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C710E289-07BD-E548-BC9B-87B30183557C}"/>
            </a:ext>
          </a:extLst>
        </xdr:cNvPr>
        <xdr:cNvSpPr/>
      </xdr:nvSpPr>
      <xdr:spPr>
        <a:xfrm>
          <a:off x="7467600" y="14058900"/>
          <a:ext cx="152400" cy="13970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177800</xdr:colOff>
      <xdr:row>69</xdr:row>
      <xdr:rowOff>139700</xdr:rowOff>
    </xdr:from>
    <xdr:to>
      <xdr:col>10</xdr:col>
      <xdr:colOff>177800</xdr:colOff>
      <xdr:row>71</xdr:row>
      <xdr:rowOff>38100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A0F1CB0F-CA2B-D343-8C76-6125E01550E9}"/>
            </a:ext>
          </a:extLst>
        </xdr:cNvPr>
        <xdr:cNvSpPr txBox="1"/>
      </xdr:nvSpPr>
      <xdr:spPr>
        <a:xfrm>
          <a:off x="7607300" y="14236700"/>
          <a:ext cx="8255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solidFill>
                <a:srgbClr val="FF0000"/>
              </a:solidFill>
            </a:rPr>
            <a:t>B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353562</xdr:colOff>
      <xdr:row>39</xdr:row>
      <xdr:rowOff>29051</xdr:rowOff>
    </xdr:from>
    <xdr:to>
      <xdr:col>24</xdr:col>
      <xdr:colOff>532769</xdr:colOff>
      <xdr:row>71</xdr:row>
      <xdr:rowOff>17243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0F1AD9-B5F7-8045-A77B-BB519E248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66772" y="7163002"/>
          <a:ext cx="5996120" cy="6510662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3</xdr:col>
      <xdr:colOff>98861</xdr:colOff>
      <xdr:row>8</xdr:row>
      <xdr:rowOff>27063</xdr:rowOff>
    </xdr:from>
    <xdr:to>
      <xdr:col>4</xdr:col>
      <xdr:colOff>724311</xdr:colOff>
      <xdr:row>9</xdr:row>
      <xdr:rowOff>189861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7A8B2FA-F1D2-7340-90E5-1A647CB27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3128750" y="1126575"/>
          <a:ext cx="368127" cy="1454373"/>
        </a:xfrm>
        <a:prstGeom prst="rect">
          <a:avLst/>
        </a:prstGeom>
      </xdr:spPr>
    </xdr:pic>
    <xdr:clientData/>
  </xdr:twoCellAnchor>
  <xdr:twoCellAnchor>
    <xdr:from>
      <xdr:col>6</xdr:col>
      <xdr:colOff>221930</xdr:colOff>
      <xdr:row>13</xdr:row>
      <xdr:rowOff>30418</xdr:rowOff>
    </xdr:from>
    <xdr:to>
      <xdr:col>7</xdr:col>
      <xdr:colOff>751308</xdr:colOff>
      <xdr:row>15</xdr:row>
      <xdr:rowOff>181654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CB12FB8-B8ED-E94C-B63B-4CE5B7208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5463" y="2699699"/>
          <a:ext cx="1358300" cy="561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511655</xdr:colOff>
      <xdr:row>21</xdr:row>
      <xdr:rowOff>82230</xdr:rowOff>
    </xdr:from>
    <xdr:to>
      <xdr:col>3</xdr:col>
      <xdr:colOff>456835</xdr:colOff>
      <xdr:row>23</xdr:row>
      <xdr:rowOff>100504</xdr:rowOff>
    </xdr:to>
    <xdr:sp macro="" textlink="">
      <xdr:nvSpPr>
        <xdr:cNvPr id="6" name="Frame 5">
          <a:extLst>
            <a:ext uri="{FF2B5EF4-FFF2-40B4-BE49-F238E27FC236}">
              <a16:creationId xmlns:a16="http://schemas.microsoft.com/office/drawing/2014/main" id="{B22A9B81-BD6B-144D-8705-747F3A5A0657}"/>
            </a:ext>
          </a:extLst>
        </xdr:cNvPr>
        <xdr:cNvSpPr/>
      </xdr:nvSpPr>
      <xdr:spPr>
        <a:xfrm>
          <a:off x="1333957" y="5107410"/>
          <a:ext cx="1589784" cy="420288"/>
        </a:xfrm>
        <a:prstGeom prst="frame">
          <a:avLst>
            <a:gd name="adj1" fmla="val 597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18273</xdr:colOff>
      <xdr:row>21</xdr:row>
      <xdr:rowOff>82229</xdr:rowOff>
    </xdr:from>
    <xdr:to>
      <xdr:col>5</xdr:col>
      <xdr:colOff>804028</xdr:colOff>
      <xdr:row>23</xdr:row>
      <xdr:rowOff>91367</xdr:rowOff>
    </xdr:to>
    <xdr:sp macro="" textlink="">
      <xdr:nvSpPr>
        <xdr:cNvPr id="7" name="Frame 6">
          <a:extLst>
            <a:ext uri="{FF2B5EF4-FFF2-40B4-BE49-F238E27FC236}">
              <a16:creationId xmlns:a16="http://schemas.microsoft.com/office/drawing/2014/main" id="{D4EC244B-8BA1-694C-A201-EDCF7A796037}"/>
            </a:ext>
          </a:extLst>
        </xdr:cNvPr>
        <xdr:cNvSpPr/>
      </xdr:nvSpPr>
      <xdr:spPr>
        <a:xfrm>
          <a:off x="4129784" y="5107409"/>
          <a:ext cx="785755" cy="411152"/>
        </a:xfrm>
        <a:prstGeom prst="frame">
          <a:avLst>
            <a:gd name="adj1" fmla="val 597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493382</xdr:colOff>
      <xdr:row>20</xdr:row>
      <xdr:rowOff>36547</xdr:rowOff>
    </xdr:from>
    <xdr:to>
      <xdr:col>9</xdr:col>
      <xdr:colOff>438562</xdr:colOff>
      <xdr:row>26</xdr:row>
      <xdr:rowOff>45684</xdr:rowOff>
    </xdr:to>
    <xdr:sp macro="" textlink="">
      <xdr:nvSpPr>
        <xdr:cNvPr id="8" name="Frame 7">
          <a:extLst>
            <a:ext uri="{FF2B5EF4-FFF2-40B4-BE49-F238E27FC236}">
              <a16:creationId xmlns:a16="http://schemas.microsoft.com/office/drawing/2014/main" id="{7C88A664-E545-004D-A53B-D3BCAF75D734}"/>
            </a:ext>
          </a:extLst>
        </xdr:cNvPr>
        <xdr:cNvSpPr/>
      </xdr:nvSpPr>
      <xdr:spPr>
        <a:xfrm>
          <a:off x="6249497" y="4860720"/>
          <a:ext cx="1589784" cy="1215180"/>
        </a:xfrm>
        <a:prstGeom prst="frame">
          <a:avLst>
            <a:gd name="adj1" fmla="val 29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804029</xdr:colOff>
      <xdr:row>28</xdr:row>
      <xdr:rowOff>36546</xdr:rowOff>
    </xdr:from>
    <xdr:to>
      <xdr:col>2</xdr:col>
      <xdr:colOff>794892</xdr:colOff>
      <xdr:row>34</xdr:row>
      <xdr:rowOff>45683</xdr:rowOff>
    </xdr:to>
    <xdr:sp macro="" textlink="">
      <xdr:nvSpPr>
        <xdr:cNvPr id="9" name="Frame 8">
          <a:extLst>
            <a:ext uri="{FF2B5EF4-FFF2-40B4-BE49-F238E27FC236}">
              <a16:creationId xmlns:a16="http://schemas.microsoft.com/office/drawing/2014/main" id="{3C1805C8-E5F0-2243-AA2B-C910426CBC06}"/>
            </a:ext>
          </a:extLst>
        </xdr:cNvPr>
        <xdr:cNvSpPr/>
      </xdr:nvSpPr>
      <xdr:spPr>
        <a:xfrm>
          <a:off x="9027051" y="4860719"/>
          <a:ext cx="813165" cy="1215180"/>
        </a:xfrm>
        <a:prstGeom prst="frame">
          <a:avLst>
            <a:gd name="adj1" fmla="val 29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621295</xdr:colOff>
      <xdr:row>29</xdr:row>
      <xdr:rowOff>63959</xdr:rowOff>
    </xdr:from>
    <xdr:to>
      <xdr:col>6</xdr:col>
      <xdr:colOff>566475</xdr:colOff>
      <xdr:row>31</xdr:row>
      <xdr:rowOff>100504</xdr:rowOff>
    </xdr:to>
    <xdr:sp macro="" textlink="">
      <xdr:nvSpPr>
        <xdr:cNvPr id="10" name="Frame 9">
          <a:extLst>
            <a:ext uri="{FF2B5EF4-FFF2-40B4-BE49-F238E27FC236}">
              <a16:creationId xmlns:a16="http://schemas.microsoft.com/office/drawing/2014/main" id="{91F2F87A-F2BB-CE43-A49A-701AF10C628C}"/>
            </a:ext>
          </a:extLst>
        </xdr:cNvPr>
        <xdr:cNvSpPr/>
      </xdr:nvSpPr>
      <xdr:spPr>
        <a:xfrm>
          <a:off x="10488921" y="5089139"/>
          <a:ext cx="1589784" cy="438559"/>
        </a:xfrm>
        <a:prstGeom prst="frame">
          <a:avLst>
            <a:gd name="adj1" fmla="val 29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0</xdr:colOff>
      <xdr:row>29</xdr:row>
      <xdr:rowOff>82230</xdr:rowOff>
    </xdr:from>
    <xdr:to>
      <xdr:col>8</xdr:col>
      <xdr:colOff>785755</xdr:colOff>
      <xdr:row>31</xdr:row>
      <xdr:rowOff>91368</xdr:rowOff>
    </xdr:to>
    <xdr:sp macro="" textlink="">
      <xdr:nvSpPr>
        <xdr:cNvPr id="11" name="Frame 10">
          <a:extLst>
            <a:ext uri="{FF2B5EF4-FFF2-40B4-BE49-F238E27FC236}">
              <a16:creationId xmlns:a16="http://schemas.microsoft.com/office/drawing/2014/main" id="{0B917627-D1BC-4C49-8B22-0CE0E44337FA}"/>
            </a:ext>
          </a:extLst>
        </xdr:cNvPr>
        <xdr:cNvSpPr/>
      </xdr:nvSpPr>
      <xdr:spPr>
        <a:xfrm>
          <a:off x="13156835" y="5107410"/>
          <a:ext cx="785755" cy="411152"/>
        </a:xfrm>
        <a:prstGeom prst="frame">
          <a:avLst>
            <a:gd name="adj1" fmla="val 597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57699</xdr:colOff>
      <xdr:row>43</xdr:row>
      <xdr:rowOff>72437</xdr:rowOff>
    </xdr:from>
    <xdr:to>
      <xdr:col>16</xdr:col>
      <xdr:colOff>415379</xdr:colOff>
      <xdr:row>56</xdr:row>
      <xdr:rowOff>90605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35FABD86-E6DB-A644-8D7D-1528C1725D01}"/>
            </a:ext>
          </a:extLst>
        </xdr:cNvPr>
        <xdr:cNvGrpSpPr/>
      </xdr:nvGrpSpPr>
      <xdr:grpSpPr>
        <a:xfrm>
          <a:off x="10778390" y="8496320"/>
          <a:ext cx="2870659" cy="2564923"/>
          <a:chOff x="1318242" y="5698371"/>
          <a:chExt cx="2050982" cy="2031662"/>
        </a:xfrm>
      </xdr:grpSpPr>
      <xdr:pic>
        <xdr:nvPicPr>
          <xdr:cNvPr id="2" name="Imagen 2">
            <a:extLst>
              <a:ext uri="{FF2B5EF4-FFF2-40B4-BE49-F238E27FC236}">
                <a16:creationId xmlns:a16="http://schemas.microsoft.com/office/drawing/2014/main" id="{C7FA63D6-6DDB-344A-ACFA-AC35206E9265}"/>
              </a:ext>
            </a:extLst>
          </xdr:cNvPr>
          <xdr:cNvPicPr/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18242" y="5698371"/>
            <a:ext cx="2050982" cy="2031662"/>
          </a:xfrm>
          <a:prstGeom prst="rect">
            <a:avLst/>
          </a:prstGeom>
          <a:solidFill>
            <a:schemeClr val="bg1"/>
          </a:solidFill>
        </xdr:spPr>
      </xdr:pic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7DB21ED4-85A2-2948-A2D3-76DD65356C23}"/>
              </a:ext>
            </a:extLst>
          </xdr:cNvPr>
          <xdr:cNvSpPr txBox="1"/>
        </xdr:nvSpPr>
        <xdr:spPr>
          <a:xfrm>
            <a:off x="1647163" y="6712544"/>
            <a:ext cx="591326" cy="3036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200">
                <a:solidFill>
                  <a:schemeClr val="tx1"/>
                </a:solidFill>
              </a:rPr>
              <a:t>15m</a:t>
            </a:r>
          </a:p>
        </xdr:txBody>
      </xdr:sp>
    </xdr:grpSp>
    <xdr:clientData/>
  </xdr:twoCellAnchor>
  <xdr:twoCellAnchor>
    <xdr:from>
      <xdr:col>6</xdr:col>
      <xdr:colOff>243808</xdr:colOff>
      <xdr:row>21</xdr:row>
      <xdr:rowOff>94858</xdr:rowOff>
    </xdr:from>
    <xdr:to>
      <xdr:col>6</xdr:col>
      <xdr:colOff>719196</xdr:colOff>
      <xdr:row>23</xdr:row>
      <xdr:rowOff>171058</xdr:rowOff>
    </xdr:to>
    <xdr:sp macro="" textlink="">
      <xdr:nvSpPr>
        <xdr:cNvPr id="14" name="Plus 13">
          <a:extLst>
            <a:ext uri="{FF2B5EF4-FFF2-40B4-BE49-F238E27FC236}">
              <a16:creationId xmlns:a16="http://schemas.microsoft.com/office/drawing/2014/main" id="{BA83D0F5-3793-AE47-9ED6-ABD778715ACC}"/>
            </a:ext>
          </a:extLst>
        </xdr:cNvPr>
        <xdr:cNvSpPr/>
      </xdr:nvSpPr>
      <xdr:spPr>
        <a:xfrm>
          <a:off x="5229734" y="5190537"/>
          <a:ext cx="475388" cy="483854"/>
        </a:xfrm>
        <a:prstGeom prst="mathPlus">
          <a:avLst>
            <a:gd name="adj1" fmla="val 730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635000</xdr:colOff>
      <xdr:row>29</xdr:row>
      <xdr:rowOff>50800</xdr:rowOff>
    </xdr:from>
    <xdr:to>
      <xdr:col>7</xdr:col>
      <xdr:colOff>279400</xdr:colOff>
      <xdr:row>31</xdr:row>
      <xdr:rowOff>127000</xdr:rowOff>
    </xdr:to>
    <xdr:sp macro="" textlink="">
      <xdr:nvSpPr>
        <xdr:cNvPr id="15" name="Plus 14">
          <a:extLst>
            <a:ext uri="{FF2B5EF4-FFF2-40B4-BE49-F238E27FC236}">
              <a16:creationId xmlns:a16="http://schemas.microsoft.com/office/drawing/2014/main" id="{DD12CFDC-4666-4546-816D-989BCBEAAC88}"/>
            </a:ext>
          </a:extLst>
        </xdr:cNvPr>
        <xdr:cNvSpPr/>
      </xdr:nvSpPr>
      <xdr:spPr>
        <a:xfrm>
          <a:off x="12712700" y="5130800"/>
          <a:ext cx="469900" cy="482600"/>
        </a:xfrm>
        <a:prstGeom prst="mathPlus">
          <a:avLst>
            <a:gd name="adj1" fmla="val 730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127000</xdr:colOff>
      <xdr:row>29</xdr:row>
      <xdr:rowOff>50800</xdr:rowOff>
    </xdr:from>
    <xdr:to>
      <xdr:col>4</xdr:col>
      <xdr:colOff>152400</xdr:colOff>
      <xdr:row>31</xdr:row>
      <xdr:rowOff>127000</xdr:rowOff>
    </xdr:to>
    <xdr:sp macro="" textlink="">
      <xdr:nvSpPr>
        <xdr:cNvPr id="16" name="Plus 15">
          <a:extLst>
            <a:ext uri="{FF2B5EF4-FFF2-40B4-BE49-F238E27FC236}">
              <a16:creationId xmlns:a16="http://schemas.microsoft.com/office/drawing/2014/main" id="{78757103-CB9F-FA47-AFE2-1A4B481C8BC3}"/>
            </a:ext>
          </a:extLst>
        </xdr:cNvPr>
        <xdr:cNvSpPr/>
      </xdr:nvSpPr>
      <xdr:spPr>
        <a:xfrm>
          <a:off x="10033000" y="5130800"/>
          <a:ext cx="546100" cy="482600"/>
        </a:xfrm>
        <a:prstGeom prst="mathPlus">
          <a:avLst>
            <a:gd name="adj1" fmla="val 730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379919</xdr:colOff>
      <xdr:row>29</xdr:row>
      <xdr:rowOff>79442</xdr:rowOff>
    </xdr:from>
    <xdr:to>
      <xdr:col>0</xdr:col>
      <xdr:colOff>848468</xdr:colOff>
      <xdr:row>31</xdr:row>
      <xdr:rowOff>155642</xdr:rowOff>
    </xdr:to>
    <xdr:sp macro="" textlink="">
      <xdr:nvSpPr>
        <xdr:cNvPr id="17" name="Plus 16">
          <a:extLst>
            <a:ext uri="{FF2B5EF4-FFF2-40B4-BE49-F238E27FC236}">
              <a16:creationId xmlns:a16="http://schemas.microsoft.com/office/drawing/2014/main" id="{98D350E4-25BF-154E-9283-419D7B8B5361}"/>
            </a:ext>
          </a:extLst>
        </xdr:cNvPr>
        <xdr:cNvSpPr/>
      </xdr:nvSpPr>
      <xdr:spPr>
        <a:xfrm>
          <a:off x="379919" y="5956570"/>
          <a:ext cx="468549" cy="481519"/>
        </a:xfrm>
        <a:prstGeom prst="mathPlus">
          <a:avLst>
            <a:gd name="adj1" fmla="val 730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571500</xdr:colOff>
      <xdr:row>21</xdr:row>
      <xdr:rowOff>76200</xdr:rowOff>
    </xdr:from>
    <xdr:to>
      <xdr:col>4</xdr:col>
      <xdr:colOff>215900</xdr:colOff>
      <xdr:row>23</xdr:row>
      <xdr:rowOff>152400</xdr:rowOff>
    </xdr:to>
    <xdr:sp macro="" textlink="">
      <xdr:nvSpPr>
        <xdr:cNvPr id="18" name="Plus 17">
          <a:extLst>
            <a:ext uri="{FF2B5EF4-FFF2-40B4-BE49-F238E27FC236}">
              <a16:creationId xmlns:a16="http://schemas.microsoft.com/office/drawing/2014/main" id="{EE216A70-B036-1649-8A01-6B6824E32283}"/>
            </a:ext>
          </a:extLst>
        </xdr:cNvPr>
        <xdr:cNvSpPr/>
      </xdr:nvSpPr>
      <xdr:spPr>
        <a:xfrm>
          <a:off x="3048000" y="5156200"/>
          <a:ext cx="469900" cy="482600"/>
        </a:xfrm>
        <a:prstGeom prst="mathPlus">
          <a:avLst>
            <a:gd name="adj1" fmla="val 730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37</xdr:row>
      <xdr:rowOff>101600</xdr:rowOff>
    </xdr:from>
    <xdr:to>
      <xdr:col>2</xdr:col>
      <xdr:colOff>785755</xdr:colOff>
      <xdr:row>39</xdr:row>
      <xdr:rowOff>110738</xdr:rowOff>
    </xdr:to>
    <xdr:sp macro="" textlink="">
      <xdr:nvSpPr>
        <xdr:cNvPr id="19" name="Frame 18">
          <a:extLst>
            <a:ext uri="{FF2B5EF4-FFF2-40B4-BE49-F238E27FC236}">
              <a16:creationId xmlns:a16="http://schemas.microsoft.com/office/drawing/2014/main" id="{530CAE67-824D-8348-AE1A-6F7F4EB7FA07}"/>
            </a:ext>
          </a:extLst>
        </xdr:cNvPr>
        <xdr:cNvSpPr/>
      </xdr:nvSpPr>
      <xdr:spPr>
        <a:xfrm>
          <a:off x="1651000" y="6807200"/>
          <a:ext cx="785755" cy="415538"/>
        </a:xfrm>
        <a:prstGeom prst="frame">
          <a:avLst>
            <a:gd name="adj1" fmla="val 597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152400</xdr:colOff>
      <xdr:row>37</xdr:row>
      <xdr:rowOff>76200</xdr:rowOff>
    </xdr:from>
    <xdr:to>
      <xdr:col>3</xdr:col>
      <xdr:colOff>622300</xdr:colOff>
      <xdr:row>39</xdr:row>
      <xdr:rowOff>152400</xdr:rowOff>
    </xdr:to>
    <xdr:sp macro="" textlink="">
      <xdr:nvSpPr>
        <xdr:cNvPr id="20" name="Plus 19">
          <a:extLst>
            <a:ext uri="{FF2B5EF4-FFF2-40B4-BE49-F238E27FC236}">
              <a16:creationId xmlns:a16="http://schemas.microsoft.com/office/drawing/2014/main" id="{FCDDBCAC-D7F3-EC49-A9A1-C0440BAC567D}"/>
            </a:ext>
          </a:extLst>
        </xdr:cNvPr>
        <xdr:cNvSpPr/>
      </xdr:nvSpPr>
      <xdr:spPr>
        <a:xfrm>
          <a:off x="2628900" y="6781800"/>
          <a:ext cx="469900" cy="482600"/>
        </a:xfrm>
        <a:prstGeom prst="mathPlus">
          <a:avLst>
            <a:gd name="adj1" fmla="val 730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812800</xdr:colOff>
      <xdr:row>37</xdr:row>
      <xdr:rowOff>101600</xdr:rowOff>
    </xdr:from>
    <xdr:to>
      <xdr:col>5</xdr:col>
      <xdr:colOff>773055</xdr:colOff>
      <xdr:row>39</xdr:row>
      <xdr:rowOff>110738</xdr:rowOff>
    </xdr:to>
    <xdr:sp macro="" textlink="">
      <xdr:nvSpPr>
        <xdr:cNvPr id="21" name="Frame 20">
          <a:extLst>
            <a:ext uri="{FF2B5EF4-FFF2-40B4-BE49-F238E27FC236}">
              <a16:creationId xmlns:a16="http://schemas.microsoft.com/office/drawing/2014/main" id="{2EFC84F1-9DCA-EF49-A556-7655CB565BE4}"/>
            </a:ext>
          </a:extLst>
        </xdr:cNvPr>
        <xdr:cNvSpPr/>
      </xdr:nvSpPr>
      <xdr:spPr>
        <a:xfrm>
          <a:off x="4114800" y="6807200"/>
          <a:ext cx="785755" cy="415538"/>
        </a:xfrm>
        <a:prstGeom prst="frame">
          <a:avLst>
            <a:gd name="adj1" fmla="val 597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152400</xdr:colOff>
      <xdr:row>37</xdr:row>
      <xdr:rowOff>25400</xdr:rowOff>
    </xdr:from>
    <xdr:to>
      <xdr:col>9</xdr:col>
      <xdr:colOff>622300</xdr:colOff>
      <xdr:row>39</xdr:row>
      <xdr:rowOff>101600</xdr:rowOff>
    </xdr:to>
    <xdr:sp macro="" textlink="">
      <xdr:nvSpPr>
        <xdr:cNvPr id="22" name="Plus 21">
          <a:extLst>
            <a:ext uri="{FF2B5EF4-FFF2-40B4-BE49-F238E27FC236}">
              <a16:creationId xmlns:a16="http://schemas.microsoft.com/office/drawing/2014/main" id="{250D56FB-2F57-F14A-941D-A860C53286A3}"/>
            </a:ext>
          </a:extLst>
        </xdr:cNvPr>
        <xdr:cNvSpPr/>
      </xdr:nvSpPr>
      <xdr:spPr>
        <a:xfrm>
          <a:off x="7581900" y="6731000"/>
          <a:ext cx="469900" cy="482600"/>
        </a:xfrm>
        <a:prstGeom prst="mathPlus">
          <a:avLst>
            <a:gd name="adj1" fmla="val 730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127000</xdr:colOff>
      <xdr:row>37</xdr:row>
      <xdr:rowOff>25400</xdr:rowOff>
    </xdr:from>
    <xdr:to>
      <xdr:col>6</xdr:col>
      <xdr:colOff>596900</xdr:colOff>
      <xdr:row>39</xdr:row>
      <xdr:rowOff>101600</xdr:rowOff>
    </xdr:to>
    <xdr:sp macro="" textlink="">
      <xdr:nvSpPr>
        <xdr:cNvPr id="23" name="Plus 22">
          <a:extLst>
            <a:ext uri="{FF2B5EF4-FFF2-40B4-BE49-F238E27FC236}">
              <a16:creationId xmlns:a16="http://schemas.microsoft.com/office/drawing/2014/main" id="{C9CCDA82-94A2-C746-8641-58530F98F464}"/>
            </a:ext>
          </a:extLst>
        </xdr:cNvPr>
        <xdr:cNvSpPr/>
      </xdr:nvSpPr>
      <xdr:spPr>
        <a:xfrm>
          <a:off x="5080000" y="6731000"/>
          <a:ext cx="469900" cy="482600"/>
        </a:xfrm>
        <a:prstGeom prst="mathPlus">
          <a:avLst>
            <a:gd name="adj1" fmla="val 730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822851</xdr:colOff>
      <xdr:row>37</xdr:row>
      <xdr:rowOff>9319</xdr:rowOff>
    </xdr:from>
    <xdr:to>
      <xdr:col>8</xdr:col>
      <xdr:colOff>813714</xdr:colOff>
      <xdr:row>43</xdr:row>
      <xdr:rowOff>18456</xdr:rowOff>
    </xdr:to>
    <xdr:sp macro="" textlink="">
      <xdr:nvSpPr>
        <xdr:cNvPr id="24" name="Frame 23">
          <a:extLst>
            <a:ext uri="{FF2B5EF4-FFF2-40B4-BE49-F238E27FC236}">
              <a16:creationId xmlns:a16="http://schemas.microsoft.com/office/drawing/2014/main" id="{2BEA239A-0373-7041-8A26-287024F91F70}"/>
            </a:ext>
          </a:extLst>
        </xdr:cNvPr>
        <xdr:cNvSpPr/>
      </xdr:nvSpPr>
      <xdr:spPr>
        <a:xfrm>
          <a:off x="6601351" y="6714919"/>
          <a:ext cx="816363" cy="1228337"/>
        </a:xfrm>
        <a:prstGeom prst="frame">
          <a:avLst>
            <a:gd name="adj1" fmla="val 29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0</xdr:colOff>
      <xdr:row>37</xdr:row>
      <xdr:rowOff>101600</xdr:rowOff>
    </xdr:from>
    <xdr:to>
      <xdr:col>11</xdr:col>
      <xdr:colOff>785755</xdr:colOff>
      <xdr:row>39</xdr:row>
      <xdr:rowOff>110738</xdr:rowOff>
    </xdr:to>
    <xdr:sp macro="" textlink="">
      <xdr:nvSpPr>
        <xdr:cNvPr id="25" name="Frame 24">
          <a:extLst>
            <a:ext uri="{FF2B5EF4-FFF2-40B4-BE49-F238E27FC236}">
              <a16:creationId xmlns:a16="http://schemas.microsoft.com/office/drawing/2014/main" id="{B135126E-EF2D-6C49-8F62-CF9850FEB1E5}"/>
            </a:ext>
          </a:extLst>
        </xdr:cNvPr>
        <xdr:cNvSpPr/>
      </xdr:nvSpPr>
      <xdr:spPr>
        <a:xfrm>
          <a:off x="9080500" y="4978400"/>
          <a:ext cx="785755" cy="415538"/>
        </a:xfrm>
        <a:prstGeom prst="frame">
          <a:avLst>
            <a:gd name="adj1" fmla="val 597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508000</xdr:colOff>
      <xdr:row>1</xdr:row>
      <xdr:rowOff>162337</xdr:rowOff>
    </xdr:from>
    <xdr:to>
      <xdr:col>9</xdr:col>
      <xdr:colOff>592666</xdr:colOff>
      <xdr:row>40</xdr:row>
      <xdr:rowOff>6312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D0E96D-E75A-AB4A-9FC5-1A1F7AD23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7733" y="365537"/>
          <a:ext cx="6722533" cy="7768775"/>
        </a:xfrm>
        <a:prstGeom prst="rect">
          <a:avLst/>
        </a:prstGeom>
      </xdr:spPr>
    </xdr:pic>
    <xdr:clientData/>
  </xdr:twoCellAnchor>
  <xdr:twoCellAnchor editAs="oneCell">
    <xdr:from>
      <xdr:col>5</xdr:col>
      <xdr:colOff>81764</xdr:colOff>
      <xdr:row>13</xdr:row>
      <xdr:rowOff>69274</xdr:rowOff>
    </xdr:from>
    <xdr:to>
      <xdr:col>11</xdr:col>
      <xdr:colOff>371679</xdr:colOff>
      <xdr:row>36</xdr:row>
      <xdr:rowOff>157567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B2250518-02E3-B247-9121-0FA56A1AACF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3582" y="2620819"/>
          <a:ext cx="5416097" cy="4602566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</xdr:row>
      <xdr:rowOff>67733</xdr:rowOff>
    </xdr:from>
    <xdr:to>
      <xdr:col>18</xdr:col>
      <xdr:colOff>84666</xdr:colOff>
      <xdr:row>39</xdr:row>
      <xdr:rowOff>114908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4B23BE0-6F64-2545-B751-0D5834ED4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64800" y="270933"/>
          <a:ext cx="6722533" cy="7768775"/>
        </a:xfrm>
        <a:prstGeom prst="rect">
          <a:avLst/>
        </a:prstGeom>
      </xdr:spPr>
    </xdr:pic>
    <xdr:clientData/>
  </xdr:twoCellAnchor>
  <xdr:twoCellAnchor>
    <xdr:from>
      <xdr:col>7</xdr:col>
      <xdr:colOff>372533</xdr:colOff>
      <xdr:row>33</xdr:row>
      <xdr:rowOff>43804</xdr:rowOff>
    </xdr:from>
    <xdr:to>
      <xdr:col>8</xdr:col>
      <xdr:colOff>368299</xdr:colOff>
      <xdr:row>34</xdr:row>
      <xdr:rowOff>145404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186FE8B-743A-0542-9630-00CA153EEAF6}"/>
            </a:ext>
          </a:extLst>
        </xdr:cNvPr>
        <xdr:cNvSpPr txBox="1"/>
      </xdr:nvSpPr>
      <xdr:spPr>
        <a:xfrm>
          <a:off x="6180666" y="6749404"/>
          <a:ext cx="8255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>
              <a:solidFill>
                <a:srgbClr val="FF0000"/>
              </a:solidFill>
            </a:rPr>
            <a:t>8m</a:t>
          </a:r>
        </a:p>
      </xdr:txBody>
    </xdr:sp>
    <xdr:clientData/>
  </xdr:twoCellAnchor>
  <xdr:twoCellAnchor>
    <xdr:from>
      <xdr:col>15</xdr:col>
      <xdr:colOff>338666</xdr:colOff>
      <xdr:row>32</xdr:row>
      <xdr:rowOff>203199</xdr:rowOff>
    </xdr:from>
    <xdr:to>
      <xdr:col>16</xdr:col>
      <xdr:colOff>334433</xdr:colOff>
      <xdr:row>34</xdr:row>
      <xdr:rowOff>101599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33F3A7B-FD67-0441-8C8B-C2E670A1CEDB}"/>
            </a:ext>
          </a:extLst>
        </xdr:cNvPr>
        <xdr:cNvSpPr txBox="1"/>
      </xdr:nvSpPr>
      <xdr:spPr>
        <a:xfrm>
          <a:off x="15273866" y="6705599"/>
          <a:ext cx="8255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>
              <a:solidFill>
                <a:srgbClr val="FF0000"/>
              </a:solidFill>
            </a:rPr>
            <a:t>23m</a:t>
          </a:r>
        </a:p>
      </xdr:txBody>
    </xdr:sp>
    <xdr:clientData/>
  </xdr:twoCellAnchor>
  <xdr:twoCellAnchor editAs="oneCell">
    <xdr:from>
      <xdr:col>1</xdr:col>
      <xdr:colOff>769362</xdr:colOff>
      <xdr:row>48</xdr:row>
      <xdr:rowOff>48195</xdr:rowOff>
    </xdr:from>
    <xdr:to>
      <xdr:col>4</xdr:col>
      <xdr:colOff>144585</xdr:colOff>
      <xdr:row>51</xdr:row>
      <xdr:rowOff>31261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83BAC6E-EF11-7D4B-AD0D-93B4A2B05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89977" y="9465733"/>
          <a:ext cx="1837070" cy="569220"/>
        </a:xfrm>
        <a:prstGeom prst="rect">
          <a:avLst/>
        </a:prstGeom>
      </xdr:spPr>
    </xdr:pic>
    <xdr:clientData/>
  </xdr:twoCellAnchor>
  <xdr:twoCellAnchor editAs="oneCell">
    <xdr:from>
      <xdr:col>14</xdr:col>
      <xdr:colOff>23087</xdr:colOff>
      <xdr:row>17</xdr:row>
      <xdr:rowOff>34908</xdr:rowOff>
    </xdr:from>
    <xdr:to>
      <xdr:col>16</xdr:col>
      <xdr:colOff>124685</xdr:colOff>
      <xdr:row>26</xdr:row>
      <xdr:rowOff>46631</xdr:rowOff>
    </xdr:to>
    <xdr:pic>
      <xdr:nvPicPr>
        <xdr:cNvPr id="16" name="Imagen 2">
          <a:extLst>
            <a:ext uri="{FF2B5EF4-FFF2-40B4-BE49-F238E27FC236}">
              <a16:creationId xmlns:a16="http://schemas.microsoft.com/office/drawing/2014/main" id="{B5A03D63-C754-9140-83E3-47284F0D5B4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4178" y="3371544"/>
          <a:ext cx="1810325" cy="1778178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136770</xdr:colOff>
      <xdr:row>47</xdr:row>
      <xdr:rowOff>97692</xdr:rowOff>
    </xdr:from>
    <xdr:to>
      <xdr:col>15</xdr:col>
      <xdr:colOff>332608</xdr:colOff>
      <xdr:row>50</xdr:row>
      <xdr:rowOff>80758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2ADA44-AE6D-0F4D-8BCA-E16713D37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266616" y="9319846"/>
          <a:ext cx="1837070" cy="569220"/>
        </a:xfrm>
        <a:prstGeom prst="rect">
          <a:avLst/>
        </a:prstGeom>
      </xdr:spPr>
    </xdr:pic>
    <xdr:clientData/>
  </xdr:twoCellAnchor>
  <xdr:twoCellAnchor editAs="oneCell">
    <xdr:from>
      <xdr:col>8</xdr:col>
      <xdr:colOff>359280</xdr:colOff>
      <xdr:row>45</xdr:row>
      <xdr:rowOff>129160</xdr:rowOff>
    </xdr:from>
    <xdr:to>
      <xdr:col>8</xdr:col>
      <xdr:colOff>359640</xdr:colOff>
      <xdr:row>45</xdr:row>
      <xdr:rowOff>129520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27" name="Ink 26">
              <a:extLst>
                <a:ext uri="{FF2B5EF4-FFF2-40B4-BE49-F238E27FC236}">
                  <a16:creationId xmlns:a16="http://schemas.microsoft.com/office/drawing/2014/main" id="{F0F60573-2819-9E4B-8CB7-EA98F6D2EEC2}"/>
                </a:ext>
              </a:extLst>
            </xdr14:cNvPr>
            <xdr14:cNvContentPartPr/>
          </xdr14:nvContentPartPr>
          <xdr14:nvPr macro=""/>
          <xdr14:xfrm>
            <a:off x="6942960" y="9283320"/>
            <a:ext cx="360" cy="360"/>
          </xdr14:xfrm>
        </xdr:contentPart>
      </mc:Choice>
      <mc:Fallback xmlns="">
        <xdr:pic>
          <xdr:nvPicPr>
            <xdr:cNvPr id="27" name="Ink 26">
              <a:extLst>
                <a:ext uri="{FF2B5EF4-FFF2-40B4-BE49-F238E27FC236}">
                  <a16:creationId xmlns:a16="http://schemas.microsoft.com/office/drawing/2014/main" id="{F0F60573-2819-9E4B-8CB7-EA98F6D2EEC2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6924960" y="9265320"/>
              <a:ext cx="36000" cy="36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10</xdr:col>
      <xdr:colOff>472440</xdr:colOff>
      <xdr:row>39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8C6AF6-C278-CD43-887E-F72D472B6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388620</xdr:colOff>
      <xdr:row>24</xdr:row>
      <xdr:rowOff>167640</xdr:rowOff>
    </xdr:from>
    <xdr:to>
      <xdr:col>9</xdr:col>
      <xdr:colOff>243840</xdr:colOff>
      <xdr:row>27</xdr:row>
      <xdr:rowOff>7620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FD54CF-3C35-0949-8EAF-DD6B088AC367}"/>
            </a:ext>
          </a:extLst>
        </xdr:cNvPr>
        <xdr:cNvCxnSpPr/>
      </xdr:nvCxnSpPr>
      <xdr:spPr>
        <a:xfrm flipH="1">
          <a:off x="5773420" y="3787140"/>
          <a:ext cx="528320" cy="41148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373380</xdr:colOff>
      <xdr:row>25</xdr:row>
      <xdr:rowOff>0</xdr:rowOff>
    </xdr:from>
    <xdr:ext cx="526298" cy="28495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6D9CEC1-325B-8247-A5FE-8774A5105AF7}"/>
            </a:ext>
          </a:extLst>
        </xdr:cNvPr>
        <xdr:cNvSpPr txBox="1"/>
      </xdr:nvSpPr>
      <xdr:spPr>
        <a:xfrm>
          <a:off x="6431280" y="3810000"/>
          <a:ext cx="526298" cy="284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+1.0</a:t>
          </a:r>
          <a:r>
            <a:rPr lang="en-GB" sz="1200" i="1">
              <a:latin typeface="Symbol" panose="05050102010706020507" pitchFamily="18" charset="2"/>
            </a:rPr>
            <a:t>s</a:t>
          </a:r>
          <a:endParaRPr lang="en-GB" sz="1100" i="1">
            <a:latin typeface="Symbol" panose="05050102010706020507" pitchFamily="18" charset="2"/>
          </a:endParaRPr>
        </a:p>
      </xdr:txBody>
    </xdr:sp>
    <xdr:clientData/>
  </xdr:oneCellAnchor>
  <xdr:oneCellAnchor>
    <xdr:from>
      <xdr:col>8</xdr:col>
      <xdr:colOff>556260</xdr:colOff>
      <xdr:row>22</xdr:row>
      <xdr:rowOff>83820</xdr:rowOff>
    </xdr:from>
    <xdr:ext cx="499239" cy="28495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2D1AF46-AAAE-BD4C-A371-FAD8FE768FE6}"/>
            </a:ext>
          </a:extLst>
        </xdr:cNvPr>
        <xdr:cNvSpPr txBox="1"/>
      </xdr:nvSpPr>
      <xdr:spPr>
        <a:xfrm>
          <a:off x="5941060" y="3322320"/>
          <a:ext cx="499239" cy="284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-1.0</a:t>
          </a:r>
          <a:r>
            <a:rPr lang="en-GB" sz="1200" i="1">
              <a:latin typeface="Symbol" panose="05050102010706020507" pitchFamily="18" charset="2"/>
            </a:rPr>
            <a:t>s</a:t>
          </a:r>
          <a:endParaRPr lang="en-GB" sz="1100" i="1">
            <a:latin typeface="Symbol" panose="05050102010706020507" pitchFamily="18" charset="2"/>
          </a:endParaRPr>
        </a:p>
      </xdr:txBody>
    </xdr:sp>
    <xdr:clientData/>
  </xdr:oneCellAnchor>
  <xdr:twoCellAnchor>
    <xdr:from>
      <xdr:col>8</xdr:col>
      <xdr:colOff>68580</xdr:colOff>
      <xdr:row>23</xdr:row>
      <xdr:rowOff>106680</xdr:rowOff>
    </xdr:from>
    <xdr:to>
      <xdr:col>9</xdr:col>
      <xdr:colOff>45720</xdr:colOff>
      <xdr:row>26</xdr:row>
      <xdr:rowOff>48593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966F015F-790B-8C46-B989-32F16EDFDDD9}"/>
            </a:ext>
          </a:extLst>
        </xdr:cNvPr>
        <xdr:cNvCxnSpPr/>
      </xdr:nvCxnSpPr>
      <xdr:spPr>
        <a:xfrm flipH="1">
          <a:off x="5453380" y="3535680"/>
          <a:ext cx="650240" cy="513413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274320</xdr:colOff>
      <xdr:row>26</xdr:row>
      <xdr:rowOff>30480</xdr:rowOff>
    </xdr:from>
    <xdr:to>
      <xdr:col>9</xdr:col>
      <xdr:colOff>464820</xdr:colOff>
      <xdr:row>27</xdr:row>
      <xdr:rowOff>22860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B060DD92-88AD-034A-9D36-F5B6FE2815DB}"/>
            </a:ext>
          </a:extLst>
        </xdr:cNvPr>
        <xdr:cNvCxnSpPr/>
      </xdr:nvCxnSpPr>
      <xdr:spPr>
        <a:xfrm flipH="1">
          <a:off x="6332220" y="4030980"/>
          <a:ext cx="190500" cy="18288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18</xdr:col>
      <xdr:colOff>660400</xdr:colOff>
      <xdr:row>17</xdr:row>
      <xdr:rowOff>24444</xdr:rowOff>
    </xdr:from>
    <xdr:to>
      <xdr:col>23</xdr:col>
      <xdr:colOff>254000</xdr:colOff>
      <xdr:row>19</xdr:row>
      <xdr:rowOff>63500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B2DC9C5-D66B-5C40-AE21-FB5D09C05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83800" y="3351844"/>
          <a:ext cx="2959100" cy="445456"/>
        </a:xfrm>
        <a:prstGeom prst="rect">
          <a:avLst/>
        </a:prstGeom>
      </xdr:spPr>
    </xdr:pic>
    <xdr:clientData/>
  </xdr:twoCellAnchor>
  <xdr:twoCellAnchor editAs="oneCell">
    <xdr:from>
      <xdr:col>19</xdr:col>
      <xdr:colOff>38100</xdr:colOff>
      <xdr:row>20</xdr:row>
      <xdr:rowOff>88900</xdr:rowOff>
    </xdr:from>
    <xdr:to>
      <xdr:col>24</xdr:col>
      <xdr:colOff>254000</xdr:colOff>
      <xdr:row>23</xdr:row>
      <xdr:rowOff>177800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50CB73B-16B0-6842-B9C9-AA2A74A70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34600" y="4025900"/>
          <a:ext cx="3581400" cy="673100"/>
        </a:xfrm>
        <a:prstGeom prst="rect">
          <a:avLst/>
        </a:prstGeom>
      </xdr:spPr>
    </xdr:pic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0.68063</cdr:x>
      <cdr:y>0.55392</cdr:y>
    </cdr:from>
    <cdr:to>
      <cdr:x>0.84555</cdr:x>
      <cdr:y>0.59681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AB7F168-AA3E-47A3-9C0F-1C64DE023387}"/>
            </a:ext>
          </a:extLst>
        </cdr:cNvPr>
        <cdr:cNvSpPr txBox="1"/>
      </cdr:nvSpPr>
      <cdr:spPr>
        <a:xfrm xmlns:a="http://schemas.openxmlformats.org/drawingml/2006/main">
          <a:off x="1981200" y="3444240"/>
          <a:ext cx="48006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/>
            <a:t>Mean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472440</xdr:colOff>
      <xdr:row>38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D7B9DD-F29D-224B-A39F-83C9AE450E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650240</xdr:colOff>
      <xdr:row>10</xdr:row>
      <xdr:rowOff>10160</xdr:rowOff>
    </xdr:from>
    <xdr:to>
      <xdr:col>17</xdr:col>
      <xdr:colOff>535940</xdr:colOff>
      <xdr:row>13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9A690E-35BC-764F-8464-519BC9B27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14000" y="1960880"/>
          <a:ext cx="1897380" cy="6324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8282</xdr:colOff>
      <xdr:row>2</xdr:row>
      <xdr:rowOff>173934</xdr:rowOff>
    </xdr:from>
    <xdr:to>
      <xdr:col>7</xdr:col>
      <xdr:colOff>389282</xdr:colOff>
      <xdr:row>8</xdr:row>
      <xdr:rowOff>157370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7C185605-D04B-5940-9069-3BDF4DBF3DD5}"/>
            </a:ext>
          </a:extLst>
        </xdr:cNvPr>
        <xdr:cNvSpPr txBox="1"/>
      </xdr:nvSpPr>
      <xdr:spPr>
        <a:xfrm>
          <a:off x="503582" y="161234"/>
          <a:ext cx="3175000" cy="1101036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b"/>
        <a:lstStyle/>
        <a:p>
          <a:endParaRPr lang="es-AR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s-AR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s-AR" sz="1100" b="1">
              <a:solidFill>
                <a:schemeClr val="dk1"/>
              </a:solidFill>
              <a:latin typeface="+mn-lt"/>
              <a:ea typeface="+mn-ea"/>
              <a:cs typeface="+mn-cs"/>
            </a:rPr>
            <a:t>ID : Capacidad</a:t>
          </a:r>
          <a:r>
            <a:rPr lang="es-A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de carga admisible- Hansen</a:t>
          </a:r>
        </a:p>
        <a:p>
          <a:r>
            <a:rPr lang="es-A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Carga centrada </a:t>
          </a:r>
          <a:endParaRPr lang="es-AR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AR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30683</xdr:colOff>
      <xdr:row>3</xdr:row>
      <xdr:rowOff>26287</xdr:rowOff>
    </xdr:from>
    <xdr:to>
      <xdr:col>7</xdr:col>
      <xdr:colOff>356153</xdr:colOff>
      <xdr:row>6</xdr:row>
      <xdr:rowOff>42507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3AB0FA6F-1DB6-6447-99E3-D7EEBDF02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2874" t="14541"/>
        <a:stretch>
          <a:fillRect/>
        </a:stretch>
      </xdr:blipFill>
      <xdr:spPr>
        <a:xfrm>
          <a:off x="525983" y="191387"/>
          <a:ext cx="3119470" cy="51502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21</xdr:col>
      <xdr:colOff>330939</xdr:colOff>
      <xdr:row>2</xdr:row>
      <xdr:rowOff>122620</xdr:rowOff>
    </xdr:from>
    <xdr:to>
      <xdr:col>29</xdr:col>
      <xdr:colOff>540406</xdr:colOff>
      <xdr:row>15</xdr:row>
      <xdr:rowOff>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4B264E4-49C1-A24F-B83D-49F2821C1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69767" y="525517"/>
          <a:ext cx="5674846" cy="2173013"/>
        </a:xfrm>
        <a:prstGeom prst="rect">
          <a:avLst/>
        </a:prstGeom>
      </xdr:spPr>
    </xdr:pic>
    <xdr:clientData/>
  </xdr:twoCellAnchor>
  <xdr:twoCellAnchor>
    <xdr:from>
      <xdr:col>3</xdr:col>
      <xdr:colOff>166414</xdr:colOff>
      <xdr:row>36</xdr:row>
      <xdr:rowOff>113861</xdr:rowOff>
    </xdr:from>
    <xdr:to>
      <xdr:col>6</xdr:col>
      <xdr:colOff>75929</xdr:colOff>
      <xdr:row>38</xdr:row>
      <xdr:rowOff>157655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57DC47F-39EB-2540-BE06-643ED18E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586" y="6542689"/>
          <a:ext cx="1302136" cy="3766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385379</xdr:colOff>
      <xdr:row>16</xdr:row>
      <xdr:rowOff>83349</xdr:rowOff>
    </xdr:from>
    <xdr:to>
      <xdr:col>27</xdr:col>
      <xdr:colOff>553981</xdr:colOff>
      <xdr:row>21</xdr:row>
      <xdr:rowOff>84958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3061E5F-4097-6B4F-9A9D-84797111C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73103" y="2947418"/>
          <a:ext cx="4267637" cy="8336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aurocodevilla/Dropbox/2%20PROYECTOS/4396%20Gutierrez%20Zaldivar%20-%20Iber&#225;%204348%20-%20A/2-%20Informes/21-%20C&#225;lculos/pilote%20o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lote on"/>
    </sheetNames>
    <sheetDataSet>
      <sheetData sheetId="0" refreshError="1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06-19T21:02:42.856"/>
    </inkml:context>
    <inkml:brush xml:id="br0">
      <inkml:brushProperty name="width" value="0.1" units="cm"/>
      <inkml:brushProperty name="height" value="0.1" units="cm"/>
      <inkml:brushProperty name="color" value="#008C3A"/>
    </inkml:brush>
  </inkml:definitions>
  <inkml:trace contextRef="#ctx0" brushRef="#br0">0 0 24575,'0'0'0</inkml:trace>
</inkml: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5336B-E6B9-4FDE-8677-968A5C8AE1A9}">
  <dimension ref="A32:I104"/>
  <sheetViews>
    <sheetView topLeftCell="A31" zoomScale="85" zoomScaleNormal="85" workbookViewId="0">
      <selection activeCell="G65" sqref="G65"/>
    </sheetView>
  </sheetViews>
  <sheetFormatPr baseColWidth="10" defaultColWidth="11" defaultRowHeight="15.5"/>
  <cols>
    <col min="1" max="1" width="14" customWidth="1"/>
    <col min="9" max="9" width="11.25" style="6"/>
  </cols>
  <sheetData>
    <row r="32" spans="1:6">
      <c r="A32" s="213" t="s">
        <v>0</v>
      </c>
      <c r="B32" s="217">
        <v>1.1499999999999999</v>
      </c>
      <c r="C32" s="214"/>
      <c r="E32" s="213" t="s">
        <v>1</v>
      </c>
      <c r="F32" s="217">
        <v>0.52</v>
      </c>
    </row>
    <row r="33" spans="1:9">
      <c r="A33" s="213" t="s">
        <v>2</v>
      </c>
      <c r="B33" s="217">
        <v>3</v>
      </c>
      <c r="C33" s="214" t="s">
        <v>3</v>
      </c>
      <c r="E33" s="213" t="s">
        <v>4</v>
      </c>
      <c r="F33" s="217">
        <v>0.1</v>
      </c>
    </row>
    <row r="34" spans="1:9">
      <c r="A34" s="213" t="s">
        <v>5</v>
      </c>
      <c r="B34" s="217">
        <v>4</v>
      </c>
      <c r="C34" s="214" t="s">
        <v>3</v>
      </c>
      <c r="E34" s="2"/>
    </row>
    <row r="35" spans="1:9">
      <c r="A35" s="215" t="s">
        <v>6</v>
      </c>
      <c r="B35" s="217">
        <v>18.5</v>
      </c>
      <c r="C35" s="214" t="s">
        <v>7</v>
      </c>
    </row>
    <row r="36" spans="1:9">
      <c r="A36" s="213" t="s">
        <v>8</v>
      </c>
      <c r="B36" s="217">
        <v>0.65</v>
      </c>
      <c r="C36" s="214"/>
    </row>
    <row r="37" spans="1:9">
      <c r="A37" s="216" t="s">
        <v>9</v>
      </c>
      <c r="B37" s="218">
        <f>27*((1+B36)/(1+B36*2.7))</f>
        <v>16.17059891107078</v>
      </c>
      <c r="C37" s="214" t="s">
        <v>7</v>
      </c>
    </row>
    <row r="38" spans="1:9">
      <c r="A38" s="216" t="s">
        <v>10</v>
      </c>
      <c r="B38" s="217">
        <v>15</v>
      </c>
      <c r="C38" s="214" t="s">
        <v>7</v>
      </c>
    </row>
    <row r="39" spans="1:9">
      <c r="A39" s="213" t="s">
        <v>11</v>
      </c>
      <c r="B39" s="217">
        <f>+B35*B34</f>
        <v>74</v>
      </c>
      <c r="C39" s="214" t="s">
        <v>12</v>
      </c>
    </row>
    <row r="40" spans="1:9" ht="17.5">
      <c r="A40" s="213" t="s">
        <v>13</v>
      </c>
      <c r="B40" s="217">
        <f>B36*2.7</f>
        <v>1.7550000000000001</v>
      </c>
      <c r="C40" s="214"/>
    </row>
    <row r="44" spans="1:9">
      <c r="A44" s="219" t="s">
        <v>14</v>
      </c>
      <c r="B44" s="219" t="s">
        <v>15</v>
      </c>
      <c r="C44" s="219" t="s">
        <v>16</v>
      </c>
      <c r="D44" s="220" t="s">
        <v>17</v>
      </c>
      <c r="E44" s="220" t="s">
        <v>18</v>
      </c>
      <c r="F44" s="220" t="s">
        <v>19</v>
      </c>
      <c r="G44" s="220" t="s">
        <v>20</v>
      </c>
      <c r="H44" s="220" t="s">
        <v>21</v>
      </c>
      <c r="I44" s="220" t="s">
        <v>22</v>
      </c>
    </row>
    <row r="45" spans="1:9" s="6" customFormat="1">
      <c r="A45" s="6">
        <v>1E-3</v>
      </c>
      <c r="B45" s="7">
        <f>+A45/$B$33</f>
        <v>3.3333333333333332E-4</v>
      </c>
      <c r="C45" s="9">
        <f>+(2/PI())*((2*B45/(1+4*B45^2))+ATAN(1/(2*B45)))</f>
        <v>0.99999999987424815</v>
      </c>
      <c r="D45" s="6">
        <f t="shared" ref="D45:D85" si="0">+$B$39*C45</f>
        <v>73.999999990694363</v>
      </c>
      <c r="E45" s="7">
        <f>+$B$38*A45</f>
        <v>1.4999999999999999E-2</v>
      </c>
      <c r="F45" s="7">
        <f>+E45+D45</f>
        <v>74.014999990694363</v>
      </c>
      <c r="G45" s="7">
        <f>+E45*$B$32</f>
        <v>1.7249999999999998E-2</v>
      </c>
      <c r="H45" s="8">
        <f>+IF(F45&gt;G45,$F$32*LOG(G45/E45,10)+$F$33*LOG(F45/G45,10),$F$32*LOG(G45/E45,10))</f>
        <v>0.39481594138500886</v>
      </c>
      <c r="I45" s="7">
        <f>+H45*(0.001/(1+$B$40))</f>
        <v>1.4330887164610122E-4</v>
      </c>
    </row>
    <row r="46" spans="1:9" s="6" customFormat="1">
      <c r="A46" s="6">
        <v>0.2</v>
      </c>
      <c r="B46" s="7">
        <f t="shared" ref="B46:B85" si="1">+A46/$B$33</f>
        <v>6.6666666666666666E-2</v>
      </c>
      <c r="C46" s="9">
        <f>+(2/PI())*((2*B46/(1+4*B46^2))+ATAN(1/(2*B46)))</f>
        <v>0.99901504386147655</v>
      </c>
      <c r="D46" s="7">
        <f t="shared" si="0"/>
        <v>73.927113245749268</v>
      </c>
      <c r="E46" s="7">
        <f t="shared" ref="E46:E50" si="2">+$B$38*A46</f>
        <v>3</v>
      </c>
      <c r="F46" s="7">
        <f t="shared" ref="F46:F85" si="3">+E46+D46</f>
        <v>76.927113245749268</v>
      </c>
      <c r="G46" s="7">
        <f t="shared" ref="G46:G85" si="4">+E46*$B$32</f>
        <v>3.4499999999999997</v>
      </c>
      <c r="H46" s="8">
        <f t="shared" ref="H46:H85" si="5">+IF(F46&gt;G46,$F$32*LOG(G46/E46,10)+$F$33*LOG(F46/G46,10),$F$32*LOG(G46/E46,10))</f>
        <v>0.16638891102454414</v>
      </c>
      <c r="I46" s="9">
        <f>+H46*(0.1/(1+$B$40))</f>
        <v>6.0395249010723835E-3</v>
      </c>
    </row>
    <row r="47" spans="1:9" s="6" customFormat="1">
      <c r="A47" s="6">
        <v>0.3</v>
      </c>
      <c r="B47" s="7">
        <f>+A47/$B$33</f>
        <v>9.9999999999999992E-2</v>
      </c>
      <c r="C47" s="9">
        <f t="shared" ref="C47:C85" si="6">+(2/PI())*((2*B47/(1+4*B47^2))+ATAN(1/(2*B47)))</f>
        <v>0.99676096292345562</v>
      </c>
      <c r="D47" s="7">
        <f t="shared" si="0"/>
        <v>73.760311256335712</v>
      </c>
      <c r="E47" s="7">
        <f t="shared" si="2"/>
        <v>4.5</v>
      </c>
      <c r="F47" s="7">
        <f t="shared" si="3"/>
        <v>78.260311256335712</v>
      </c>
      <c r="G47" s="7">
        <f t="shared" si="4"/>
        <v>5.1749999999999998</v>
      </c>
      <c r="H47" s="8">
        <f t="shared" si="5"/>
        <v>0.14952599865507482</v>
      </c>
      <c r="I47" s="9">
        <f>+H47*(0.1/(1+$B$40))</f>
        <v>5.4274409675163279E-3</v>
      </c>
    </row>
    <row r="48" spans="1:9" s="6" customFormat="1">
      <c r="A48" s="6">
        <v>0.4</v>
      </c>
      <c r="B48" s="7">
        <f t="shared" si="1"/>
        <v>0.13333333333333333</v>
      </c>
      <c r="C48" s="9">
        <f t="shared" si="6"/>
        <v>0.99258991382451767</v>
      </c>
      <c r="D48" s="7">
        <f t="shared" si="0"/>
        <v>73.451653623014309</v>
      </c>
      <c r="E48" s="7">
        <f t="shared" si="2"/>
        <v>6</v>
      </c>
      <c r="F48" s="7">
        <f t="shared" si="3"/>
        <v>79.451653623014309</v>
      </c>
      <c r="G48" s="7">
        <f t="shared" si="4"/>
        <v>6.8999999999999995</v>
      </c>
      <c r="H48" s="8">
        <f t="shared" si="5"/>
        <v>0.13768826196867953</v>
      </c>
      <c r="I48" s="9">
        <f t="shared" ref="I48:I49" si="7">+H48*(0.1/(1+$B$40))</f>
        <v>4.997759055124484E-3</v>
      </c>
    </row>
    <row r="49" spans="1:9" s="6" customFormat="1">
      <c r="A49" s="6">
        <v>0.5</v>
      </c>
      <c r="B49" s="7">
        <f t="shared" si="1"/>
        <v>0.16666666666666666</v>
      </c>
      <c r="C49" s="9">
        <f>+(2/PI())*((2*B49/(1+4*B49^2))+ATAN(1/(2*B49)))</f>
        <v>0.98615316701114109</v>
      </c>
      <c r="D49" s="7">
        <f t="shared" si="0"/>
        <v>72.975334358824441</v>
      </c>
      <c r="E49" s="7">
        <f t="shared" si="2"/>
        <v>7.5</v>
      </c>
      <c r="F49" s="7">
        <f t="shared" si="3"/>
        <v>80.475334358824441</v>
      </c>
      <c r="G49" s="7">
        <f t="shared" si="4"/>
        <v>8.625</v>
      </c>
      <c r="H49" s="8">
        <f t="shared" si="5"/>
        <v>0.12855324558610706</v>
      </c>
      <c r="I49" s="9">
        <f t="shared" si="7"/>
        <v>4.6661795131073347E-3</v>
      </c>
    </row>
    <row r="50" spans="1:9" s="6" customFormat="1">
      <c r="A50" s="6">
        <v>1</v>
      </c>
      <c r="B50" s="7">
        <f t="shared" si="1"/>
        <v>0.33333333333333331</v>
      </c>
      <c r="C50" s="9">
        <f t="shared" si="6"/>
        <v>0.9194904267015015</v>
      </c>
      <c r="D50" s="7">
        <f>+$B$39*C50</f>
        <v>68.042291575911108</v>
      </c>
      <c r="E50" s="7">
        <f t="shared" si="2"/>
        <v>15</v>
      </c>
      <c r="F50" s="7">
        <f t="shared" si="3"/>
        <v>83.042291575911108</v>
      </c>
      <c r="G50" s="7">
        <f t="shared" si="4"/>
        <v>17.25</v>
      </c>
      <c r="H50" s="8">
        <f t="shared" si="5"/>
        <v>9.9813899558032104E-2</v>
      </c>
      <c r="I50" s="9">
        <f t="shared" ref="I50:I85" si="8">+H50*(0.5/(1+$B$40))</f>
        <v>1.8115045291838858E-2</v>
      </c>
    </row>
    <row r="51" spans="1:9" s="6" customFormat="1">
      <c r="A51" s="6">
        <v>1.5</v>
      </c>
      <c r="B51" s="7">
        <f t="shared" si="1"/>
        <v>0.5</v>
      </c>
      <c r="C51" s="9">
        <f t="shared" si="6"/>
        <v>0.81830988618379075</v>
      </c>
      <c r="D51" s="7">
        <f t="shared" si="0"/>
        <v>60.554931577600513</v>
      </c>
      <c r="E51" s="7">
        <f>+$B$37*A51</f>
        <v>24.255898366606168</v>
      </c>
      <c r="F51" s="7">
        <f t="shared" si="3"/>
        <v>84.810829944206688</v>
      </c>
      <c r="G51" s="7">
        <f t="shared" si="4"/>
        <v>27.894283121597091</v>
      </c>
      <c r="H51" s="8">
        <f t="shared" si="5"/>
        <v>7.9856487840553908E-2</v>
      </c>
      <c r="I51" s="9">
        <f t="shared" si="8"/>
        <v>1.4493010497378205E-2</v>
      </c>
    </row>
    <row r="52" spans="1:9" s="6" customFormat="1">
      <c r="A52" s="6">
        <v>2</v>
      </c>
      <c r="B52" s="7">
        <f t="shared" si="1"/>
        <v>0.66666666666666663</v>
      </c>
      <c r="C52" s="9">
        <f t="shared" si="6"/>
        <v>0.71524302013470586</v>
      </c>
      <c r="D52" s="7">
        <f t="shared" si="0"/>
        <v>52.927983489968234</v>
      </c>
      <c r="E52" s="7">
        <f t="shared" ref="E52:E85" si="9">+$B$37*A52</f>
        <v>32.341197822141559</v>
      </c>
      <c r="F52" s="7">
        <f t="shared" si="3"/>
        <v>85.269181312109794</v>
      </c>
      <c r="G52" s="7">
        <f t="shared" si="4"/>
        <v>37.192377495462793</v>
      </c>
      <c r="H52" s="8">
        <f t="shared" si="5"/>
        <v>6.7596692188396978E-2</v>
      </c>
      <c r="I52" s="9">
        <f t="shared" si="8"/>
        <v>1.2268002212050268E-2</v>
      </c>
    </row>
    <row r="53" spans="1:9" s="6" customFormat="1">
      <c r="A53" s="6">
        <v>2.5</v>
      </c>
      <c r="B53" s="7">
        <f t="shared" si="1"/>
        <v>0.83333333333333337</v>
      </c>
      <c r="C53" s="9">
        <f t="shared" si="6"/>
        <v>0.62490340352507667</v>
      </c>
      <c r="D53" s="7">
        <f t="shared" si="0"/>
        <v>46.242851860855673</v>
      </c>
      <c r="E53" s="7">
        <f t="shared" si="9"/>
        <v>40.426497277676951</v>
      </c>
      <c r="F53" s="7">
        <f t="shared" si="3"/>
        <v>86.669349138532624</v>
      </c>
      <c r="G53" s="7">
        <f t="shared" si="4"/>
        <v>46.490471869328488</v>
      </c>
      <c r="H53" s="8">
        <f t="shared" si="5"/>
        <v>5.8613035077958842E-2</v>
      </c>
      <c r="I53" s="9">
        <f t="shared" si="8"/>
        <v>1.063757442431195E-2</v>
      </c>
    </row>
    <row r="54" spans="1:9" s="6" customFormat="1">
      <c r="A54" s="6">
        <v>3</v>
      </c>
      <c r="B54" s="7">
        <f t="shared" si="1"/>
        <v>1</v>
      </c>
      <c r="C54" s="9">
        <f t="shared" si="6"/>
        <v>0.54981514424789912</v>
      </c>
      <c r="D54" s="7">
        <f t="shared" si="0"/>
        <v>40.686320674344536</v>
      </c>
      <c r="E54" s="7">
        <f t="shared" si="9"/>
        <v>48.511796733212336</v>
      </c>
      <c r="F54" s="7">
        <f t="shared" si="3"/>
        <v>89.198117407556879</v>
      </c>
      <c r="G54" s="7">
        <f t="shared" si="4"/>
        <v>55.788566243194182</v>
      </c>
      <c r="H54" s="8">
        <f t="shared" si="5"/>
        <v>5.1943925794602774E-2</v>
      </c>
      <c r="I54" s="9">
        <f t="shared" si="8"/>
        <v>9.4272097630858035E-3</v>
      </c>
    </row>
    <row r="55" spans="1:9" s="6" customFormat="1">
      <c r="A55" s="6">
        <v>3.5</v>
      </c>
      <c r="B55" s="7">
        <f t="shared" si="1"/>
        <v>1.1666666666666667</v>
      </c>
      <c r="C55" s="9">
        <f t="shared" si="6"/>
        <v>0.48826237922726501</v>
      </c>
      <c r="D55" s="7">
        <f t="shared" si="0"/>
        <v>36.131416062817614</v>
      </c>
      <c r="E55" s="7">
        <f t="shared" si="9"/>
        <v>56.597096188747727</v>
      </c>
      <c r="F55" s="7">
        <f t="shared" si="3"/>
        <v>92.728512251565348</v>
      </c>
      <c r="G55" s="7">
        <f t="shared" si="4"/>
        <v>65.086660617059877</v>
      </c>
      <c r="H55" s="8">
        <f t="shared" si="5"/>
        <v>4.6935007191093531E-2</v>
      </c>
      <c r="I55" s="9">
        <f t="shared" si="8"/>
        <v>8.5181501254253233E-3</v>
      </c>
    </row>
    <row r="56" spans="1:9" s="6" customFormat="1">
      <c r="A56" s="6">
        <v>4</v>
      </c>
      <c r="B56" s="7">
        <f t="shared" si="1"/>
        <v>1.3333333333333333</v>
      </c>
      <c r="C56" s="9">
        <f t="shared" si="6"/>
        <v>0.4377001536291581</v>
      </c>
      <c r="D56" s="7">
        <f t="shared" si="0"/>
        <v>32.389811368557702</v>
      </c>
      <c r="E56" s="7">
        <f t="shared" si="9"/>
        <v>64.682395644283119</v>
      </c>
      <c r="F56" s="7">
        <f t="shared" si="3"/>
        <v>97.072207012840821</v>
      </c>
      <c r="G56" s="7">
        <f t="shared" si="4"/>
        <v>74.384754990925586</v>
      </c>
      <c r="H56" s="8">
        <f t="shared" si="5"/>
        <v>4.3123973673451138E-2</v>
      </c>
      <c r="I56" s="9">
        <f t="shared" si="8"/>
        <v>7.8264924997189008E-3</v>
      </c>
    </row>
    <row r="57" spans="1:9" s="6" customFormat="1">
      <c r="A57" s="6">
        <v>4.5</v>
      </c>
      <c r="B57" s="7">
        <f t="shared" si="1"/>
        <v>1.5</v>
      </c>
      <c r="C57" s="9">
        <f t="shared" si="6"/>
        <v>0.39581869640940787</v>
      </c>
      <c r="D57" s="7">
        <f t="shared" si="0"/>
        <v>29.290583534296182</v>
      </c>
      <c r="E57" s="7">
        <f t="shared" si="9"/>
        <v>72.767695099818511</v>
      </c>
      <c r="F57" s="7">
        <f t="shared" si="3"/>
        <v>102.05827863411469</v>
      </c>
      <c r="G57" s="7">
        <f t="shared" si="4"/>
        <v>83.682849364791281</v>
      </c>
      <c r="H57" s="8">
        <f t="shared" si="5"/>
        <v>4.0184054955514553E-2</v>
      </c>
      <c r="I57" s="9">
        <f t="shared" si="8"/>
        <v>7.2929319338501915E-3</v>
      </c>
    </row>
    <row r="58" spans="1:9" s="6" customFormat="1">
      <c r="A58" s="6">
        <v>5</v>
      </c>
      <c r="B58" s="7">
        <f t="shared" si="1"/>
        <v>1.6666666666666667</v>
      </c>
      <c r="C58" s="9">
        <f t="shared" si="6"/>
        <v>0.36076360926582823</v>
      </c>
      <c r="D58" s="7">
        <f t="shared" si="0"/>
        <v>26.696507085671289</v>
      </c>
      <c r="E58" s="7">
        <f t="shared" si="9"/>
        <v>80.852994555353902</v>
      </c>
      <c r="F58" s="7">
        <f t="shared" si="3"/>
        <v>107.54950164102519</v>
      </c>
      <c r="G58" s="7">
        <f t="shared" si="4"/>
        <v>92.980943738656975</v>
      </c>
      <c r="H58" s="8">
        <f t="shared" si="5"/>
        <v>3.7884322227420643E-2</v>
      </c>
      <c r="I58" s="9">
        <f t="shared" si="8"/>
        <v>6.8755575730345998E-3</v>
      </c>
    </row>
    <row r="59" spans="1:9" s="6" customFormat="1">
      <c r="A59" s="6">
        <v>5.5</v>
      </c>
      <c r="B59" s="7">
        <f t="shared" si="1"/>
        <v>1.8333333333333333</v>
      </c>
      <c r="C59" s="7">
        <f t="shared" si="6"/>
        <v>0.33110479960078876</v>
      </c>
      <c r="D59" s="7">
        <f t="shared" si="0"/>
        <v>24.501755170458367</v>
      </c>
      <c r="E59" s="7">
        <f t="shared" si="9"/>
        <v>88.938294010889294</v>
      </c>
      <c r="F59" s="7">
        <f t="shared" si="3"/>
        <v>113.44004918134766</v>
      </c>
      <c r="G59" s="7">
        <f t="shared" si="4"/>
        <v>102.27903811252268</v>
      </c>
      <c r="H59" s="8">
        <f t="shared" si="5"/>
        <v>3.6060854093099795E-2</v>
      </c>
      <c r="I59" s="9">
        <f t="shared" si="8"/>
        <v>6.5446196176224677E-3</v>
      </c>
    </row>
    <row r="60" spans="1:9" s="6" customFormat="1">
      <c r="A60" s="6">
        <v>6</v>
      </c>
      <c r="B60" s="7">
        <f t="shared" si="1"/>
        <v>2</v>
      </c>
      <c r="C60" s="7">
        <f t="shared" si="6"/>
        <v>0.30575114837064016</v>
      </c>
      <c r="D60" s="7">
        <f t="shared" si="0"/>
        <v>22.625584979427373</v>
      </c>
      <c r="E60" s="7">
        <f t="shared" si="9"/>
        <v>97.023593466424671</v>
      </c>
      <c r="F60" s="7">
        <f t="shared" si="3"/>
        <v>119.64917844585204</v>
      </c>
      <c r="G60" s="7">
        <f t="shared" si="4"/>
        <v>111.57713248638836</v>
      </c>
      <c r="H60" s="8">
        <f t="shared" si="5"/>
        <v>3.4596329485454214E-2</v>
      </c>
      <c r="I60" s="9">
        <f t="shared" si="8"/>
        <v>6.2788256779408736E-3</v>
      </c>
    </row>
    <row r="61" spans="1:9" s="6" customFormat="1">
      <c r="A61" s="6">
        <v>6.5</v>
      </c>
      <c r="B61" s="7">
        <f t="shared" si="1"/>
        <v>2.1666666666666665</v>
      </c>
      <c r="C61" s="7">
        <f t="shared" si="6"/>
        <v>0.28386873845014665</v>
      </c>
      <c r="D61" s="7">
        <f t="shared" si="0"/>
        <v>21.006286645310851</v>
      </c>
      <c r="E61" s="7">
        <f t="shared" si="9"/>
        <v>105.10889292196006</v>
      </c>
      <c r="F61" s="7">
        <f t="shared" si="3"/>
        <v>126.11517956727091</v>
      </c>
      <c r="G61" s="7">
        <f t="shared" si="4"/>
        <v>120.87522686025406</v>
      </c>
      <c r="H61" s="8">
        <f t="shared" si="5"/>
        <v>3.3405883024575138E-2</v>
      </c>
      <c r="I61" s="9">
        <f t="shared" si="8"/>
        <v>6.0627736886706245E-3</v>
      </c>
    </row>
    <row r="62" spans="1:9" s="6" customFormat="1">
      <c r="A62" s="6">
        <v>7</v>
      </c>
      <c r="B62" s="7">
        <f t="shared" si="1"/>
        <v>2.3333333333333335</v>
      </c>
      <c r="C62" s="7">
        <f t="shared" si="6"/>
        <v>0.26481560652232727</v>
      </c>
      <c r="D62" s="7">
        <f t="shared" si="0"/>
        <v>19.596354882652218</v>
      </c>
      <c r="E62" s="7">
        <f t="shared" si="9"/>
        <v>113.19419237749545</v>
      </c>
      <c r="F62" s="7">
        <f t="shared" si="3"/>
        <v>132.79054726014766</v>
      </c>
      <c r="G62" s="7">
        <f t="shared" si="4"/>
        <v>130.17332123411975</v>
      </c>
      <c r="H62" s="8">
        <f t="shared" si="5"/>
        <v>3.2427394501909457E-2</v>
      </c>
      <c r="I62" s="9">
        <f t="shared" si="8"/>
        <v>5.8851895647748561E-3</v>
      </c>
    </row>
    <row r="63" spans="1:9" s="6" customFormat="1">
      <c r="A63" s="6">
        <v>7.5</v>
      </c>
      <c r="B63" s="7">
        <f t="shared" si="1"/>
        <v>2.5</v>
      </c>
      <c r="C63" s="7">
        <f t="shared" si="6"/>
        <v>0.24809279567946033</v>
      </c>
      <c r="D63" s="7">
        <f t="shared" si="0"/>
        <v>18.358866880280065</v>
      </c>
      <c r="E63" s="7">
        <f t="shared" si="9"/>
        <v>121.27949183303085</v>
      </c>
      <c r="F63" s="7">
        <f t="shared" si="3"/>
        <v>139.63835871331091</v>
      </c>
      <c r="G63" s="7">
        <f t="shared" si="4"/>
        <v>139.47141560798545</v>
      </c>
      <c r="H63" s="8">
        <f t="shared" si="5"/>
        <v>3.1614829645340382E-2</v>
      </c>
      <c r="I63" s="9">
        <f t="shared" si="8"/>
        <v>5.7377186289184002E-3</v>
      </c>
    </row>
    <row r="64" spans="1:9" s="6" customFormat="1">
      <c r="A64" s="6">
        <v>8</v>
      </c>
      <c r="B64" s="7">
        <f t="shared" si="1"/>
        <v>2.6666666666666665</v>
      </c>
      <c r="C64" s="7">
        <f t="shared" si="6"/>
        <v>0.2333084303903171</v>
      </c>
      <c r="D64" s="7">
        <f t="shared" si="0"/>
        <v>17.264823848883466</v>
      </c>
      <c r="E64" s="7">
        <f t="shared" si="9"/>
        <v>129.36479128856624</v>
      </c>
      <c r="F64" s="7">
        <f t="shared" si="3"/>
        <v>146.62961513744972</v>
      </c>
      <c r="G64" s="7">
        <f t="shared" si="4"/>
        <v>148.76950998185117</v>
      </c>
      <c r="H64" s="8">
        <f t="shared" si="5"/>
        <v>3.1562876983878059E-2</v>
      </c>
      <c r="I64" s="9">
        <f t="shared" si="8"/>
        <v>5.7282898337346752E-3</v>
      </c>
    </row>
    <row r="65" spans="1:9" s="6" customFormat="1">
      <c r="A65" s="6">
        <v>8.5</v>
      </c>
      <c r="B65" s="7">
        <f t="shared" si="1"/>
        <v>2.8333333333333335</v>
      </c>
      <c r="C65" s="7">
        <f t="shared" si="6"/>
        <v>0.22015148158078737</v>
      </c>
      <c r="D65" s="7">
        <f t="shared" si="0"/>
        <v>16.291209636978266</v>
      </c>
      <c r="E65" s="7">
        <f t="shared" si="9"/>
        <v>137.45009074410163</v>
      </c>
      <c r="F65" s="7">
        <f t="shared" si="3"/>
        <v>153.7413003810799</v>
      </c>
      <c r="G65" s="7">
        <f t="shared" si="4"/>
        <v>158.06760435571687</v>
      </c>
      <c r="H65" s="8">
        <f t="shared" si="5"/>
        <v>3.1562876983878059E-2</v>
      </c>
      <c r="I65" s="9">
        <f t="shared" si="8"/>
        <v>5.7282898337346752E-3</v>
      </c>
    </row>
    <row r="66" spans="1:9" s="6" customFormat="1">
      <c r="A66" s="6">
        <v>9</v>
      </c>
      <c r="B66" s="7">
        <f t="shared" si="1"/>
        <v>3</v>
      </c>
      <c r="C66" s="7">
        <f t="shared" si="6"/>
        <v>0.20837255218481734</v>
      </c>
      <c r="D66" s="7">
        <f t="shared" si="0"/>
        <v>15.419568861676483</v>
      </c>
      <c r="E66" s="7">
        <f t="shared" si="9"/>
        <v>145.53539019963702</v>
      </c>
      <c r="F66" s="7">
        <f t="shared" si="3"/>
        <v>160.9549590613135</v>
      </c>
      <c r="G66" s="7">
        <f t="shared" si="4"/>
        <v>167.36569872958256</v>
      </c>
      <c r="H66" s="8">
        <f t="shared" si="5"/>
        <v>3.1562876983878059E-2</v>
      </c>
      <c r="I66" s="9">
        <f t="shared" si="8"/>
        <v>5.7282898337346752E-3</v>
      </c>
    </row>
    <row r="67" spans="1:9" s="6" customFormat="1">
      <c r="A67" s="6">
        <v>9.5</v>
      </c>
      <c r="B67" s="7">
        <f t="shared" si="1"/>
        <v>3.1666666666666665</v>
      </c>
      <c r="C67" s="7">
        <f t="shared" si="6"/>
        <v>0.19776970810082162</v>
      </c>
      <c r="D67" s="7">
        <f t="shared" si="0"/>
        <v>14.6349583994608</v>
      </c>
      <c r="E67" s="7">
        <f t="shared" si="9"/>
        <v>153.62068965517241</v>
      </c>
      <c r="F67" s="7">
        <f t="shared" si="3"/>
        <v>168.25564805463321</v>
      </c>
      <c r="G67" s="7">
        <f t="shared" si="4"/>
        <v>176.66379310344826</v>
      </c>
      <c r="H67" s="8">
        <f t="shared" si="5"/>
        <v>3.1562876983878059E-2</v>
      </c>
      <c r="I67" s="9">
        <f t="shared" si="8"/>
        <v>5.7282898337346752E-3</v>
      </c>
    </row>
    <row r="68" spans="1:9" s="6" customFormat="1">
      <c r="A68" s="6">
        <v>10</v>
      </c>
      <c r="B68" s="7">
        <f t="shared" si="1"/>
        <v>3.3333333333333335</v>
      </c>
      <c r="C68" s="7">
        <f t="shared" si="6"/>
        <v>0.18817793820303522</v>
      </c>
      <c r="D68" s="7">
        <f t="shared" si="0"/>
        <v>13.925167427024606</v>
      </c>
      <c r="E68" s="7">
        <f t="shared" si="9"/>
        <v>161.7059891107078</v>
      </c>
      <c r="F68" s="7">
        <f t="shared" si="3"/>
        <v>175.63115653773241</v>
      </c>
      <c r="G68" s="7">
        <f t="shared" si="4"/>
        <v>185.96188747731395</v>
      </c>
      <c r="H68" s="8">
        <f t="shared" si="5"/>
        <v>3.1562876983878059E-2</v>
      </c>
      <c r="I68" s="9">
        <f t="shared" si="8"/>
        <v>5.7282898337346752E-3</v>
      </c>
    </row>
    <row r="69" spans="1:9" s="6" customFormat="1">
      <c r="A69" s="6">
        <v>10.5</v>
      </c>
      <c r="B69" s="7">
        <f t="shared" si="1"/>
        <v>3.5</v>
      </c>
      <c r="C69" s="7">
        <f t="shared" si="6"/>
        <v>0.1794612387331945</v>
      </c>
      <c r="D69" s="7">
        <f t="shared" si="0"/>
        <v>13.280131666256393</v>
      </c>
      <c r="E69" s="7">
        <f t="shared" si="9"/>
        <v>169.7912885662432</v>
      </c>
      <c r="F69" s="7">
        <f t="shared" si="3"/>
        <v>183.07142023249958</v>
      </c>
      <c r="G69" s="7">
        <f t="shared" si="4"/>
        <v>195.25998185117967</v>
      </c>
      <c r="H69" s="8">
        <f t="shared" si="5"/>
        <v>3.1562876983878059E-2</v>
      </c>
      <c r="I69" s="9">
        <f t="shared" si="8"/>
        <v>5.7282898337346752E-3</v>
      </c>
    </row>
    <row r="70" spans="1:9" s="6" customFormat="1">
      <c r="A70" s="6">
        <v>11</v>
      </c>
      <c r="B70" s="7">
        <f t="shared" si="1"/>
        <v>3.6666666666666665</v>
      </c>
      <c r="C70" s="7">
        <f t="shared" si="6"/>
        <v>0.17150661020840938</v>
      </c>
      <c r="D70" s="7">
        <f t="shared" si="0"/>
        <v>12.691489155422294</v>
      </c>
      <c r="E70" s="7">
        <f t="shared" si="9"/>
        <v>177.87658802177859</v>
      </c>
      <c r="F70" s="7">
        <f t="shared" si="3"/>
        <v>190.56807717720088</v>
      </c>
      <c r="G70" s="7">
        <f t="shared" si="4"/>
        <v>204.55807622504537</v>
      </c>
      <c r="H70" s="8">
        <f t="shared" si="5"/>
        <v>3.1562876983878059E-2</v>
      </c>
      <c r="I70" s="9">
        <f t="shared" si="8"/>
        <v>5.7282898337346752E-3</v>
      </c>
    </row>
    <row r="71" spans="1:9" s="6" customFormat="1">
      <c r="A71" s="6">
        <v>11.5</v>
      </c>
      <c r="B71" s="7">
        <f t="shared" si="1"/>
        <v>3.8333333333333335</v>
      </c>
      <c r="C71" s="7">
        <f t="shared" si="6"/>
        <v>0.16421946044802746</v>
      </c>
      <c r="D71" s="7">
        <f t="shared" si="0"/>
        <v>12.152240073154031</v>
      </c>
      <c r="E71" s="7">
        <f t="shared" si="9"/>
        <v>185.96188747731398</v>
      </c>
      <c r="F71" s="7">
        <f t="shared" si="3"/>
        <v>198.114127550468</v>
      </c>
      <c r="G71" s="7">
        <f t="shared" si="4"/>
        <v>213.85617059891106</v>
      </c>
      <c r="H71" s="8">
        <f t="shared" si="5"/>
        <v>3.1562876983878059E-2</v>
      </c>
      <c r="I71" s="9">
        <f t="shared" si="8"/>
        <v>5.7282898337346752E-3</v>
      </c>
    </row>
    <row r="72" spans="1:9" s="6" customFormat="1">
      <c r="A72" s="6">
        <v>12</v>
      </c>
      <c r="B72" s="7">
        <f t="shared" si="1"/>
        <v>4</v>
      </c>
      <c r="C72" s="7">
        <f t="shared" si="6"/>
        <v>0.15752005107406419</v>
      </c>
      <c r="D72" s="7">
        <f t="shared" si="0"/>
        <v>11.65648377948075</v>
      </c>
      <c r="E72" s="7">
        <f t="shared" si="9"/>
        <v>194.04718693284934</v>
      </c>
      <c r="F72" s="7">
        <f t="shared" si="3"/>
        <v>205.70367071233008</v>
      </c>
      <c r="G72" s="7">
        <f t="shared" si="4"/>
        <v>223.15426497277673</v>
      </c>
      <c r="H72" s="8">
        <f t="shared" si="5"/>
        <v>3.1562876983878059E-2</v>
      </c>
      <c r="I72" s="9">
        <f t="shared" si="8"/>
        <v>5.7282898337346752E-3</v>
      </c>
    </row>
    <row r="73" spans="1:9" s="6" customFormat="1">
      <c r="A73" s="6">
        <v>12.5</v>
      </c>
      <c r="B73" s="7">
        <f t="shared" si="1"/>
        <v>4.166666666666667</v>
      </c>
      <c r="C73" s="7">
        <f t="shared" si="6"/>
        <v>0.15134072567629145</v>
      </c>
      <c r="D73" s="7">
        <f t="shared" si="0"/>
        <v>11.199213700045567</v>
      </c>
      <c r="E73" s="7">
        <f t="shared" si="9"/>
        <v>202.13248638838473</v>
      </c>
      <c r="F73" s="7">
        <f t="shared" si="3"/>
        <v>213.3317000884303</v>
      </c>
      <c r="G73" s="7">
        <f t="shared" si="4"/>
        <v>232.45235934664242</v>
      </c>
      <c r="H73" s="8">
        <f t="shared" si="5"/>
        <v>3.1562876983878059E-2</v>
      </c>
      <c r="I73" s="9">
        <f t="shared" si="8"/>
        <v>5.7282898337346752E-3</v>
      </c>
    </row>
    <row r="74" spans="1:9" s="6" customFormat="1">
      <c r="A74" s="6">
        <v>13</v>
      </c>
      <c r="B74" s="7">
        <f t="shared" si="1"/>
        <v>4.333333333333333</v>
      </c>
      <c r="C74" s="7">
        <f t="shared" si="6"/>
        <v>0.14562372896702935</v>
      </c>
      <c r="D74" s="7">
        <f t="shared" si="0"/>
        <v>10.776155943560171</v>
      </c>
      <c r="E74" s="7">
        <f t="shared" si="9"/>
        <v>210.21778584392013</v>
      </c>
      <c r="F74" s="7">
        <f t="shared" si="3"/>
        <v>220.99394178748031</v>
      </c>
      <c r="G74" s="7">
        <f t="shared" si="4"/>
        <v>241.75045372050812</v>
      </c>
      <c r="H74" s="8">
        <f t="shared" si="5"/>
        <v>3.1562876983878059E-2</v>
      </c>
      <c r="I74" s="9">
        <f t="shared" si="8"/>
        <v>5.7282898337346752E-3</v>
      </c>
    </row>
    <row r="75" spans="1:9" s="6" customFormat="1">
      <c r="A75" s="6">
        <v>13.5</v>
      </c>
      <c r="B75" s="7">
        <f t="shared" si="1"/>
        <v>4.5</v>
      </c>
      <c r="C75" s="7">
        <f t="shared" si="6"/>
        <v>0.14031947679977688</v>
      </c>
      <c r="D75" s="7">
        <f t="shared" si="0"/>
        <v>10.38364128318349</v>
      </c>
      <c r="E75" s="7">
        <f t="shared" si="9"/>
        <v>218.30308529945552</v>
      </c>
      <c r="F75" s="7">
        <f t="shared" si="3"/>
        <v>228.68672658263901</v>
      </c>
      <c r="G75" s="7">
        <f t="shared" si="4"/>
        <v>251.04854809437381</v>
      </c>
      <c r="H75" s="8">
        <f t="shared" si="5"/>
        <v>3.1562876983878059E-2</v>
      </c>
      <c r="I75" s="9">
        <f t="shared" si="8"/>
        <v>5.7282898337346752E-3</v>
      </c>
    </row>
    <row r="76" spans="1:9" s="6" customFormat="1">
      <c r="A76" s="6">
        <v>14</v>
      </c>
      <c r="B76" s="7">
        <f t="shared" si="1"/>
        <v>4.666666666666667</v>
      </c>
      <c r="C76" s="7">
        <f t="shared" si="6"/>
        <v>0.13538517314226206</v>
      </c>
      <c r="D76" s="7">
        <f t="shared" si="0"/>
        <v>10.018502812527393</v>
      </c>
      <c r="E76" s="7">
        <f t="shared" si="9"/>
        <v>226.38838475499091</v>
      </c>
      <c r="F76" s="7">
        <f t="shared" si="3"/>
        <v>236.40688756751831</v>
      </c>
      <c r="G76" s="7">
        <f t="shared" si="4"/>
        <v>260.34664246823951</v>
      </c>
      <c r="H76" s="8">
        <f>+IF(F76&gt;G76,$F$32*LOG(G76/E76,10)+$F$33*LOG(F76/G76,10),$F$32*LOG(G76/E76,10))</f>
        <v>3.1562876983878059E-2</v>
      </c>
      <c r="I76" s="9">
        <f t="shared" si="8"/>
        <v>5.7282898337346752E-3</v>
      </c>
    </row>
    <row r="77" spans="1:9" s="6" customFormat="1">
      <c r="A77" s="6">
        <v>14.5</v>
      </c>
      <c r="B77" s="7">
        <f t="shared" si="1"/>
        <v>4.833333333333333</v>
      </c>
      <c r="C77" s="7">
        <f t="shared" si="6"/>
        <v>0.13078369626592273</v>
      </c>
      <c r="D77" s="7">
        <f t="shared" si="0"/>
        <v>9.6779935236782819</v>
      </c>
      <c r="E77" s="7">
        <f t="shared" si="9"/>
        <v>234.4736842105263</v>
      </c>
      <c r="F77" s="7">
        <f t="shared" si="3"/>
        <v>244.15167773420458</v>
      </c>
      <c r="G77" s="7">
        <f t="shared" si="4"/>
        <v>269.6447368421052</v>
      </c>
      <c r="H77" s="8">
        <f t="shared" si="5"/>
        <v>3.1562876983878059E-2</v>
      </c>
      <c r="I77" s="9">
        <f t="shared" si="8"/>
        <v>5.7282898337346752E-3</v>
      </c>
    </row>
    <row r="78" spans="1:9" s="6" customFormat="1">
      <c r="A78" s="6">
        <v>15</v>
      </c>
      <c r="B78" s="7">
        <f t="shared" si="1"/>
        <v>5</v>
      </c>
      <c r="C78" s="7">
        <f t="shared" si="6"/>
        <v>0.12648269549156077</v>
      </c>
      <c r="D78" s="7">
        <f t="shared" si="0"/>
        <v>9.3597194663754966</v>
      </c>
      <c r="E78" s="7">
        <f t="shared" si="9"/>
        <v>242.55898366606169</v>
      </c>
      <c r="F78" s="7">
        <f t="shared" si="3"/>
        <v>251.9187031324372</v>
      </c>
      <c r="G78" s="7">
        <f t="shared" si="4"/>
        <v>278.9428312159709</v>
      </c>
      <c r="H78" s="8">
        <f t="shared" si="5"/>
        <v>3.1562876983878059E-2</v>
      </c>
      <c r="I78" s="9">
        <f t="shared" si="8"/>
        <v>5.7282898337346752E-3</v>
      </c>
    </row>
    <row r="79" spans="1:9" s="6" customFormat="1">
      <c r="A79" s="6">
        <v>15.5</v>
      </c>
      <c r="B79" s="7">
        <f t="shared" si="1"/>
        <v>5.166666666666667</v>
      </c>
      <c r="C79" s="7">
        <f t="shared" si="6"/>
        <v>0.12245385385822616</v>
      </c>
      <c r="D79" s="7">
        <f t="shared" si="0"/>
        <v>9.0615851855087364</v>
      </c>
      <c r="E79" s="7">
        <f t="shared" si="9"/>
        <v>250.64428312159708</v>
      </c>
      <c r="F79" s="7">
        <f t="shared" si="3"/>
        <v>259.70586830710585</v>
      </c>
      <c r="G79" s="7">
        <f t="shared" si="4"/>
        <v>288.24092558983665</v>
      </c>
      <c r="H79" s="8">
        <f t="shared" si="5"/>
        <v>3.1562876983878059E-2</v>
      </c>
      <c r="I79" s="9">
        <f t="shared" si="8"/>
        <v>5.7282898337346752E-3</v>
      </c>
    </row>
    <row r="80" spans="1:9" s="6" customFormat="1">
      <c r="A80" s="6">
        <v>16</v>
      </c>
      <c r="B80" s="7">
        <f t="shared" si="1"/>
        <v>5.333333333333333</v>
      </c>
      <c r="C80" s="7">
        <f t="shared" si="6"/>
        <v>0.11867228248386916</v>
      </c>
      <c r="D80" s="7">
        <f t="shared" si="0"/>
        <v>8.7817489038063172</v>
      </c>
      <c r="E80" s="7">
        <f t="shared" si="9"/>
        <v>258.72958257713248</v>
      </c>
      <c r="F80" s="7">
        <f t="shared" si="3"/>
        <v>267.51133148093879</v>
      </c>
      <c r="G80" s="7">
        <f t="shared" si="4"/>
        <v>297.53901996370234</v>
      </c>
      <c r="H80" s="8">
        <f t="shared" si="5"/>
        <v>3.1562876983878059E-2</v>
      </c>
      <c r="I80" s="9">
        <f t="shared" si="8"/>
        <v>5.7282898337346752E-3</v>
      </c>
    </row>
    <row r="81" spans="1:9" s="6" customFormat="1">
      <c r="A81" s="6">
        <v>16.5</v>
      </c>
      <c r="B81" s="7">
        <f t="shared" si="1"/>
        <v>5.5</v>
      </c>
      <c r="C81" s="7">
        <f t="shared" si="6"/>
        <v>0.11511602016280073</v>
      </c>
      <c r="D81" s="7">
        <f t="shared" si="0"/>
        <v>8.5185854920472543</v>
      </c>
      <c r="E81" s="7">
        <f t="shared" si="9"/>
        <v>266.81488203266787</v>
      </c>
      <c r="F81" s="7">
        <f t="shared" si="3"/>
        <v>275.3334675247151</v>
      </c>
      <c r="G81" s="7">
        <f t="shared" si="4"/>
        <v>306.83711433756804</v>
      </c>
      <c r="H81" s="8">
        <f t="shared" si="5"/>
        <v>3.1562876983878059E-2</v>
      </c>
      <c r="I81" s="9">
        <f t="shared" si="8"/>
        <v>5.7282898337346752E-3</v>
      </c>
    </row>
    <row r="82" spans="1:9" s="6" customFormat="1">
      <c r="A82" s="6">
        <v>17</v>
      </c>
      <c r="B82" s="7">
        <f t="shared" si="1"/>
        <v>5.666666666666667</v>
      </c>
      <c r="C82" s="7">
        <f t="shared" si="6"/>
        <v>0.11176561760532676</v>
      </c>
      <c r="D82" s="7">
        <f t="shared" si="0"/>
        <v>8.2706557027941798</v>
      </c>
      <c r="E82" s="7">
        <f t="shared" si="9"/>
        <v>274.90018148820326</v>
      </c>
      <c r="F82" s="7">
        <f t="shared" si="3"/>
        <v>283.17083719099742</v>
      </c>
      <c r="G82" s="7">
        <f t="shared" si="4"/>
        <v>316.13520871143373</v>
      </c>
      <c r="H82" s="8">
        <f t="shared" si="5"/>
        <v>3.1562876983878059E-2</v>
      </c>
      <c r="I82" s="9">
        <f t="shared" si="8"/>
        <v>5.7282898337346752E-3</v>
      </c>
    </row>
    <row r="83" spans="1:9" s="6" customFormat="1">
      <c r="A83" s="6">
        <v>17.5</v>
      </c>
      <c r="B83" s="7">
        <f t="shared" si="1"/>
        <v>5.833333333333333</v>
      </c>
      <c r="C83" s="7">
        <f t="shared" si="6"/>
        <v>0.10860379017511028</v>
      </c>
      <c r="D83" s="7">
        <f t="shared" si="0"/>
        <v>8.0366804729581602</v>
      </c>
      <c r="E83" s="7">
        <f t="shared" si="9"/>
        <v>282.98548094373865</v>
      </c>
      <c r="F83" s="7">
        <f t="shared" si="3"/>
        <v>291.0221614166968</v>
      </c>
      <c r="G83" s="7">
        <f t="shared" si="4"/>
        <v>325.43330308529943</v>
      </c>
      <c r="H83" s="8">
        <f t="shared" si="5"/>
        <v>3.1562876983878059E-2</v>
      </c>
      <c r="I83" s="9">
        <f t="shared" si="8"/>
        <v>5.7282898337346752E-3</v>
      </c>
    </row>
    <row r="84" spans="1:9" s="6" customFormat="1">
      <c r="A84" s="6">
        <v>18</v>
      </c>
      <c r="B84" s="7">
        <f t="shared" si="1"/>
        <v>6</v>
      </c>
      <c r="C84" s="7">
        <f t="shared" si="6"/>
        <v>0.10561512638408303</v>
      </c>
      <c r="D84" s="7">
        <f t="shared" si="0"/>
        <v>7.815519352422144</v>
      </c>
      <c r="E84" s="7">
        <f t="shared" si="9"/>
        <v>291.07078039927404</v>
      </c>
      <c r="F84" s="7">
        <f t="shared" si="3"/>
        <v>298.88629975169619</v>
      </c>
      <c r="G84" s="7">
        <f t="shared" si="4"/>
        <v>334.73139745916512</v>
      </c>
      <c r="H84" s="8">
        <f t="shared" si="5"/>
        <v>3.1562876983878059E-2</v>
      </c>
      <c r="I84" s="9">
        <f t="shared" si="8"/>
        <v>5.7282898337346752E-3</v>
      </c>
    </row>
    <row r="85" spans="1:9" s="6" customFormat="1">
      <c r="A85" s="6">
        <v>18.5</v>
      </c>
      <c r="B85" s="7">
        <f t="shared" si="1"/>
        <v>6.166666666666667</v>
      </c>
      <c r="C85" s="7">
        <f t="shared" si="6"/>
        <v>0.10278584202728575</v>
      </c>
      <c r="D85" s="7">
        <f t="shared" si="0"/>
        <v>7.6061523100191453</v>
      </c>
      <c r="E85" s="7">
        <f t="shared" si="9"/>
        <v>299.15607985480943</v>
      </c>
      <c r="F85" s="7">
        <f t="shared" si="3"/>
        <v>306.76223216482856</v>
      </c>
      <c r="G85" s="7">
        <f t="shared" si="4"/>
        <v>344.02949183303082</v>
      </c>
      <c r="H85" s="8">
        <f t="shared" si="5"/>
        <v>3.1562876983878059E-2</v>
      </c>
      <c r="I85" s="9">
        <f t="shared" si="8"/>
        <v>5.7282898337346752E-3</v>
      </c>
    </row>
    <row r="86" spans="1:9">
      <c r="B86" s="10"/>
      <c r="C86" s="10"/>
      <c r="I86" s="62">
        <f>+SUM(I45:I52)</f>
        <v>6.6150271309733957E-2</v>
      </c>
    </row>
    <row r="87" spans="1:9">
      <c r="B87" s="10"/>
      <c r="C87" s="10"/>
    </row>
    <row r="88" spans="1:9">
      <c r="B88" s="10"/>
      <c r="C88" s="10"/>
    </row>
    <row r="89" spans="1:9">
      <c r="B89" s="10"/>
      <c r="C89" s="10"/>
    </row>
    <row r="90" spans="1:9">
      <c r="B90" s="10"/>
      <c r="C90" s="10"/>
    </row>
    <row r="91" spans="1:9">
      <c r="B91" s="10"/>
      <c r="C91" s="10"/>
    </row>
    <row r="92" spans="1:9">
      <c r="B92" s="10"/>
      <c r="C92" s="10"/>
    </row>
    <row r="93" spans="1:9">
      <c r="B93" s="10"/>
      <c r="C93" s="10"/>
    </row>
    <row r="94" spans="1:9">
      <c r="B94" s="10"/>
      <c r="C94" s="10"/>
    </row>
    <row r="95" spans="1:9">
      <c r="B95" s="10"/>
      <c r="C95" s="10"/>
    </row>
    <row r="96" spans="1:9">
      <c r="B96" s="10"/>
      <c r="C96" s="10"/>
    </row>
    <row r="97" spans="2:3">
      <c r="B97" s="10"/>
      <c r="C97" s="10"/>
    </row>
    <row r="98" spans="2:3">
      <c r="B98" s="10"/>
      <c r="C98" s="10"/>
    </row>
    <row r="99" spans="2:3">
      <c r="B99" s="10"/>
      <c r="C99" s="10"/>
    </row>
    <row r="100" spans="2:3">
      <c r="B100" s="10"/>
      <c r="C100" s="10"/>
    </row>
    <row r="101" spans="2:3">
      <c r="B101" s="10"/>
      <c r="C101" s="10"/>
    </row>
    <row r="102" spans="2:3">
      <c r="B102" s="10"/>
      <c r="C102" s="10"/>
    </row>
    <row r="103" spans="2:3">
      <c r="B103" s="10"/>
      <c r="C103" s="10"/>
    </row>
    <row r="104" spans="2:3">
      <c r="B104" s="10"/>
      <c r="C104" s="10"/>
    </row>
  </sheetData>
  <pageMargins left="0.7" right="0.7" top="0.75" bottom="0.75" header="0.3" footer="0.3"/>
  <pageSetup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86EEF-312A-C449-8862-FAE878428DBA}">
  <sheetPr>
    <tabColor theme="8"/>
  </sheetPr>
  <dimension ref="A1"/>
  <sheetViews>
    <sheetView topLeftCell="A22" zoomScale="179" workbookViewId="0">
      <selection activeCell="K31" sqref="K31"/>
    </sheetView>
  </sheetViews>
  <sheetFormatPr baseColWidth="10" defaultColWidth="10.75" defaultRowHeight="12.5"/>
  <cols>
    <col min="1" max="16384" width="10.75" style="108"/>
  </cols>
  <sheetData/>
  <pageMargins left="0.75" right="0.75" top="1" bottom="1" header="0.5" footer="0.5"/>
  <pageSetup orientation="portrait" horizontalDpi="0" verticalDpi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891E1-A5BC-054A-9D37-FAA48EE3C31D}">
  <dimension ref="A1:U70"/>
  <sheetViews>
    <sheetView showGridLines="0" zoomScale="112" zoomScaleNormal="145" zoomScaleSheetLayoutView="115" zoomScalePageLayoutView="145" workbookViewId="0">
      <selection activeCell="O15" sqref="O15"/>
    </sheetView>
  </sheetViews>
  <sheetFormatPr baseColWidth="10" defaultColWidth="9" defaultRowHeight="12.5" outlineLevelRow="1"/>
  <cols>
    <col min="1" max="1" width="6.25" style="108" customWidth="1"/>
    <col min="2" max="4" width="6.25" style="107" customWidth="1"/>
    <col min="5" max="5" width="6.75" style="107" customWidth="1"/>
    <col min="6" max="8" width="5.75" style="107" customWidth="1"/>
    <col min="9" max="14" width="6.75" style="107" customWidth="1"/>
    <col min="15" max="18" width="6.5" style="107" customWidth="1"/>
    <col min="19" max="16384" width="9" style="107"/>
  </cols>
  <sheetData>
    <row r="1" spans="1:21" ht="15.5">
      <c r="A1" s="1" t="s">
        <v>135</v>
      </c>
      <c r="B1" s="1"/>
      <c r="C1" s="1"/>
      <c r="D1" s="1"/>
      <c r="E1" s="1"/>
      <c r="F1" s="1"/>
      <c r="G1" s="1"/>
      <c r="H1" s="1"/>
      <c r="I1" s="1"/>
      <c r="J1" s="1"/>
    </row>
    <row r="2" spans="1:21" ht="15.5">
      <c r="A2" s="2" t="s">
        <v>136</v>
      </c>
      <c r="B2"/>
      <c r="C2"/>
      <c r="D2"/>
      <c r="E2"/>
      <c r="F2" s="2"/>
      <c r="G2"/>
      <c r="H2"/>
      <c r="I2"/>
      <c r="J2"/>
    </row>
    <row r="3" spans="1:21" ht="13.5" customHeight="1" outlineLevel="1">
      <c r="G3" s="109"/>
    </row>
    <row r="4" spans="1:21" outlineLevel="1">
      <c r="I4" s="228" t="s">
        <v>137</v>
      </c>
      <c r="J4" s="228"/>
      <c r="K4" s="228"/>
      <c r="L4" s="228"/>
      <c r="M4" s="228"/>
      <c r="P4" s="227" t="s">
        <v>138</v>
      </c>
      <c r="Q4" s="227"/>
      <c r="R4" s="227"/>
      <c r="S4" s="227"/>
    </row>
    <row r="5" spans="1:21" outlineLevel="1">
      <c r="I5" s="129" t="s">
        <v>139</v>
      </c>
      <c r="J5" s="129"/>
      <c r="K5" s="129"/>
      <c r="M5" s="130">
        <v>7.5</v>
      </c>
    </row>
    <row r="6" spans="1:21" outlineLevel="1">
      <c r="I6" s="129" t="s">
        <v>140</v>
      </c>
      <c r="J6" s="129"/>
      <c r="K6" s="129"/>
      <c r="M6" s="130">
        <f>+M5</f>
        <v>7.5</v>
      </c>
    </row>
    <row r="7" spans="1:21" ht="14.5" outlineLevel="1">
      <c r="I7" s="129" t="s">
        <v>141</v>
      </c>
      <c r="J7" s="129"/>
      <c r="K7" s="129"/>
      <c r="M7" s="131">
        <f>+M5*M6</f>
        <v>56.25</v>
      </c>
      <c r="P7" s="110" t="s">
        <v>142</v>
      </c>
      <c r="Q7" s="111"/>
      <c r="R7" s="111"/>
      <c r="S7" s="111"/>
      <c r="T7" s="111"/>
      <c r="U7" s="111"/>
    </row>
    <row r="8" spans="1:21" ht="15" outlineLevel="1">
      <c r="I8" s="132" t="s">
        <v>143</v>
      </c>
      <c r="J8" s="132"/>
      <c r="K8" s="132"/>
      <c r="M8" s="130">
        <v>0</v>
      </c>
      <c r="P8" s="112" t="s">
        <v>62</v>
      </c>
      <c r="Q8" s="112" t="s">
        <v>144</v>
      </c>
      <c r="R8" s="112" t="s">
        <v>145</v>
      </c>
      <c r="S8" s="112" t="s">
        <v>146</v>
      </c>
      <c r="T8" s="112" t="s">
        <v>147</v>
      </c>
      <c r="U8" s="113" t="s">
        <v>148</v>
      </c>
    </row>
    <row r="9" spans="1:21" outlineLevel="1">
      <c r="I9" s="132" t="s">
        <v>149</v>
      </c>
      <c r="J9" s="132"/>
      <c r="K9" s="132"/>
      <c r="M9" s="131">
        <f>+M8</f>
        <v>0</v>
      </c>
      <c r="P9" s="114" t="s">
        <v>150</v>
      </c>
      <c r="Q9" s="114" t="s">
        <v>150</v>
      </c>
      <c r="R9" s="114" t="s">
        <v>151</v>
      </c>
      <c r="S9" s="114" t="s">
        <v>152</v>
      </c>
      <c r="T9" s="114" t="s">
        <v>151</v>
      </c>
      <c r="U9" s="115" t="s">
        <v>152</v>
      </c>
    </row>
    <row r="10" spans="1:21" outlineLevel="1">
      <c r="P10" s="116">
        <v>1</v>
      </c>
      <c r="Q10" s="116">
        <v>0</v>
      </c>
      <c r="R10" s="116">
        <v>0</v>
      </c>
      <c r="S10" s="116">
        <v>0</v>
      </c>
      <c r="T10" s="116">
        <v>0</v>
      </c>
      <c r="U10" s="117">
        <v>0</v>
      </c>
    </row>
    <row r="11" spans="1:21" ht="13" outlineLevel="1">
      <c r="B11" s="226" t="s">
        <v>153</v>
      </c>
      <c r="C11" s="226"/>
      <c r="D11" s="226"/>
      <c r="E11" s="226"/>
      <c r="G11" s="226" t="s">
        <v>154</v>
      </c>
      <c r="H11" s="226"/>
      <c r="I11" s="226"/>
      <c r="J11" s="226"/>
      <c r="S11" s="110" t="s">
        <v>155</v>
      </c>
      <c r="T11" s="111"/>
      <c r="U11" s="111"/>
    </row>
    <row r="12" spans="1:21" ht="15.5" outlineLevel="1">
      <c r="B12" s="133" t="s">
        <v>156</v>
      </c>
      <c r="C12" s="133" t="s">
        <v>157</v>
      </c>
      <c r="D12" s="134" t="s">
        <v>158</v>
      </c>
      <c r="E12" s="133" t="s">
        <v>159</v>
      </c>
      <c r="G12" s="133" t="s">
        <v>160</v>
      </c>
      <c r="H12" s="134" t="s">
        <v>161</v>
      </c>
      <c r="I12" s="133" t="s">
        <v>162</v>
      </c>
      <c r="P12" s="151" t="s">
        <v>163</v>
      </c>
      <c r="S12" s="113" t="s">
        <v>164</v>
      </c>
      <c r="T12" s="113" t="s">
        <v>165</v>
      </c>
      <c r="U12" s="113" t="s">
        <v>166</v>
      </c>
    </row>
    <row r="13" spans="1:21" ht="14.5" outlineLevel="1">
      <c r="B13" s="135" t="s">
        <v>167</v>
      </c>
      <c r="C13" s="135" t="s">
        <v>12</v>
      </c>
      <c r="D13" s="135" t="s">
        <v>168</v>
      </c>
      <c r="E13" s="135" t="s">
        <v>12</v>
      </c>
      <c r="G13" s="136">
        <f>+P13*EXP(PI()*TAN(RADIANS(B14)))</f>
        <v>37.752497171885736</v>
      </c>
      <c r="H13" s="136">
        <f>1.5*(G13-1)*TAN(RADIANS(B14))</f>
        <v>40.053378308657607</v>
      </c>
      <c r="I13" s="136">
        <f>IF(B14=0,PI()+2,(G13-1)*TAN(RADIANS(B14))^-1)</f>
        <v>50.585472639551462</v>
      </c>
      <c r="P13" s="140">
        <f>+TAN(RADIANS(45+B14/2))^2</f>
        <v>3.8518399963191818</v>
      </c>
      <c r="S13" s="114" t="s">
        <v>152</v>
      </c>
      <c r="T13" s="114" t="s">
        <v>152</v>
      </c>
      <c r="U13" s="115" t="s">
        <v>169</v>
      </c>
    </row>
    <row r="14" spans="1:21" outlineLevel="1">
      <c r="B14" s="137">
        <v>36</v>
      </c>
      <c r="C14" s="137">
        <v>0</v>
      </c>
      <c r="D14" s="137">
        <v>10</v>
      </c>
      <c r="E14" s="138">
        <f>M9*D14</f>
        <v>0</v>
      </c>
      <c r="G14" s="120"/>
      <c r="S14" s="118">
        <f>MIN(M5-2*S10,M6-2*U10)</f>
        <v>7.5</v>
      </c>
      <c r="T14" s="118">
        <f>MAX(M5-2*S10,M6-2*U10)</f>
        <v>7.5</v>
      </c>
      <c r="U14" s="119">
        <f>+S14*T14</f>
        <v>56.25</v>
      </c>
    </row>
    <row r="15" spans="1:21" outlineLevel="1"/>
    <row r="16" spans="1:21" outlineLevel="1">
      <c r="B16" s="226" t="s">
        <v>170</v>
      </c>
      <c r="C16" s="226"/>
      <c r="D16" s="226"/>
      <c r="E16" s="226"/>
      <c r="F16" s="226"/>
      <c r="G16" s="226"/>
      <c r="H16" s="226"/>
      <c r="I16" s="226"/>
      <c r="J16" s="226"/>
      <c r="K16" s="226"/>
      <c r="Q16" s="121"/>
      <c r="R16" s="121"/>
      <c r="S16" s="121"/>
    </row>
    <row r="17" spans="1:20" ht="15.5" outlineLevel="1">
      <c r="B17" s="133" t="s">
        <v>171</v>
      </c>
      <c r="C17" s="133" t="s">
        <v>172</v>
      </c>
      <c r="D17" s="133" t="s">
        <v>173</v>
      </c>
      <c r="E17" s="133" t="s">
        <v>174</v>
      </c>
      <c r="F17" s="133" t="s">
        <v>175</v>
      </c>
      <c r="G17" s="133" t="s">
        <v>176</v>
      </c>
      <c r="H17" s="133" t="s">
        <v>177</v>
      </c>
      <c r="I17" s="133" t="s">
        <v>178</v>
      </c>
      <c r="J17" s="139" t="s">
        <v>179</v>
      </c>
      <c r="K17" s="133" t="s">
        <v>180</v>
      </c>
      <c r="Q17" s="123"/>
      <c r="R17" s="123"/>
      <c r="S17" s="123"/>
      <c r="T17" s="122" t="s">
        <v>181</v>
      </c>
    </row>
    <row r="18" spans="1:20" outlineLevel="1">
      <c r="B18" s="140">
        <f>+M9/S14</f>
        <v>0</v>
      </c>
      <c r="C18" s="141">
        <f>1-0.4*S14/T14</f>
        <v>0.6</v>
      </c>
      <c r="D18" s="141">
        <v>1</v>
      </c>
      <c r="E18" s="141">
        <f>(1-0.7*$Q$10/(P10+U14*C14*(1/TAN(RADIANS(B14)))))^5</f>
        <v>1</v>
      </c>
      <c r="F18" s="141">
        <f>1+(S14/T14)*TAN(RADIANS(B14))</f>
        <v>1.726542528005361</v>
      </c>
      <c r="G18" s="141">
        <f>1+(2*TAN(RADIANS(B14))*(1-SIN(RADIANS(B14)))^2)*T18</f>
        <v>1</v>
      </c>
      <c r="H18" s="141">
        <f>+(1-(0.5*Q10/(P10+U14*C14*(1/TAN(RADIANS(B14))))))^5</f>
        <v>1</v>
      </c>
      <c r="I18" s="141">
        <f>1+(G13*S14)/(I13*T14)</f>
        <v>1.7463110494369096</v>
      </c>
      <c r="J18" s="141">
        <f>1+0.4*T18</f>
        <v>1</v>
      </c>
      <c r="K18" s="141">
        <f>IF(B14=0,(1+(1-Q10/(U14*C14))^0.5)/2, H18-(1-H18)/(G13-1))</f>
        <v>1</v>
      </c>
      <c r="T18" s="124">
        <f>+IF(B18&gt;1, ATAN(B18),B18)</f>
        <v>0</v>
      </c>
    </row>
    <row r="19" spans="1:20" outlineLevel="1">
      <c r="Q19" s="125" t="s">
        <v>182</v>
      </c>
      <c r="R19" s="126"/>
      <c r="S19" s="127"/>
      <c r="T19" s="128">
        <f>C14*I13*I18*J18*K18</f>
        <v>0</v>
      </c>
    </row>
    <row r="20" spans="1:20" outlineLevel="1">
      <c r="B20" s="132" t="s">
        <v>183</v>
      </c>
      <c r="C20" s="132"/>
      <c r="D20" s="132"/>
      <c r="E20" s="132"/>
      <c r="F20" s="148">
        <f>+T22</f>
        <v>901.20101194479605</v>
      </c>
      <c r="G20" s="120"/>
      <c r="Q20" s="125" t="s">
        <v>185</v>
      </c>
      <c r="R20" s="126"/>
      <c r="S20" s="127"/>
      <c r="T20" s="128">
        <f>0.5*S14*D14*H13*C18*D18*E18</f>
        <v>901.20101194479605</v>
      </c>
    </row>
    <row r="21" spans="1:20" ht="13" outlineLevel="1">
      <c r="B21" s="142" t="s">
        <v>200</v>
      </c>
      <c r="C21" s="142"/>
      <c r="D21" s="142"/>
      <c r="E21" s="142"/>
      <c r="F21" s="153">
        <f>+M5*M6*F20/1000</f>
        <v>50.692556921894777</v>
      </c>
      <c r="P21" s="121"/>
      <c r="Q21" s="125" t="s">
        <v>187</v>
      </c>
      <c r="R21" s="126"/>
      <c r="S21" s="127"/>
      <c r="T21" s="128">
        <f>E14*G13*F18*G18*H18</f>
        <v>0</v>
      </c>
    </row>
    <row r="22" spans="1:20" outlineLevel="1">
      <c r="B22" s="132" t="s">
        <v>201</v>
      </c>
      <c r="C22" s="132"/>
      <c r="D22" s="132"/>
      <c r="E22" s="132"/>
      <c r="F22" s="149">
        <v>2</v>
      </c>
      <c r="Q22" s="125" t="s">
        <v>189</v>
      </c>
      <c r="R22" s="126"/>
      <c r="S22" s="127"/>
      <c r="T22" s="128">
        <f>SUM(T19:T21)</f>
        <v>901.20101194479605</v>
      </c>
    </row>
    <row r="23" spans="1:20" ht="13" outlineLevel="1">
      <c r="B23" s="142" t="s">
        <v>202</v>
      </c>
      <c r="C23" s="109"/>
      <c r="D23" s="109"/>
      <c r="E23" s="109"/>
      <c r="F23" s="152">
        <f>+F21/F22</f>
        <v>25.346278460947389</v>
      </c>
    </row>
    <row r="24" spans="1:20" outlineLevel="1">
      <c r="B24" s="120"/>
      <c r="C24" s="120"/>
      <c r="D24" s="120"/>
      <c r="E24" s="120"/>
      <c r="F24" s="120"/>
      <c r="G24" s="120"/>
    </row>
    <row r="25" spans="1:20" ht="13" outlineLevel="1" thickBot="1">
      <c r="B25" s="120"/>
    </row>
    <row r="26" spans="1:20" ht="15">
      <c r="B26" s="120"/>
      <c r="I26" s="155" t="s">
        <v>203</v>
      </c>
      <c r="J26" s="156" t="s">
        <v>204</v>
      </c>
      <c r="K26" s="156" t="s">
        <v>205</v>
      </c>
      <c r="L26" s="156" t="s">
        <v>206</v>
      </c>
      <c r="M26" s="156" t="s">
        <v>207</v>
      </c>
      <c r="N26" s="157" t="s">
        <v>208</v>
      </c>
      <c r="O26" s="154"/>
    </row>
    <row r="27" spans="1:20" ht="13.5" thickBot="1">
      <c r="B27" s="120"/>
      <c r="I27" s="158" t="s">
        <v>44</v>
      </c>
      <c r="J27" s="159" t="s">
        <v>209</v>
      </c>
      <c r="K27" s="159" t="s">
        <v>209</v>
      </c>
      <c r="L27" s="159" t="s">
        <v>46</v>
      </c>
      <c r="M27" s="159" t="s">
        <v>46</v>
      </c>
      <c r="N27" s="160" t="s">
        <v>46</v>
      </c>
      <c r="O27" s="154"/>
    </row>
    <row r="28" spans="1:20" ht="15.5">
      <c r="A28" s="2"/>
      <c r="B28" s="120"/>
      <c r="E28" s="107" t="s">
        <v>210</v>
      </c>
      <c r="F28" s="107">
        <v>20</v>
      </c>
      <c r="I28" s="161" t="s">
        <v>211</v>
      </c>
      <c r="J28" s="162">
        <f>25*1.5*3*3/1000</f>
        <v>0.33750000000000002</v>
      </c>
      <c r="K28" s="163">
        <v>3.2</v>
      </c>
      <c r="L28" s="163">
        <f>+TAN(0.66*$B$14*PI()/180)</f>
        <v>0.44021887101067064</v>
      </c>
      <c r="M28" s="162">
        <f>+K28/($F$28+J28)</f>
        <v>0.15734480639213277</v>
      </c>
      <c r="N28" s="164">
        <f>+(J28+$F$29)*L28/$F$30</f>
        <v>1.3949435475150627</v>
      </c>
      <c r="O28" s="154"/>
      <c r="P28" s="107">
        <v>360</v>
      </c>
    </row>
    <row r="29" spans="1:20" ht="13">
      <c r="A29" s="109"/>
      <c r="E29" s="107" t="s">
        <v>212</v>
      </c>
      <c r="F29" s="107">
        <v>6</v>
      </c>
      <c r="I29" s="165" t="s">
        <v>213</v>
      </c>
      <c r="J29" s="166">
        <f>25*1.5*4*4/1000</f>
        <v>0.6</v>
      </c>
      <c r="K29" s="154">
        <v>7.7</v>
      </c>
      <c r="L29" s="154">
        <f>+TAN(0.66*$B$14*PI()/180)</f>
        <v>0.44021887101067064</v>
      </c>
      <c r="M29" s="166">
        <f>+K29/($F$28+J29)</f>
        <v>0.37378640776699029</v>
      </c>
      <c r="N29" s="167">
        <f>+(J29+$F$29)*L29/$F$30</f>
        <v>1.4527222743352131</v>
      </c>
      <c r="O29" s="154"/>
      <c r="P29" s="107">
        <v>481</v>
      </c>
    </row>
    <row r="30" spans="1:20">
      <c r="A30" s="107"/>
      <c r="E30" s="107" t="s">
        <v>27</v>
      </c>
      <c r="F30" s="107">
        <v>2</v>
      </c>
      <c r="I30" s="165" t="s">
        <v>214</v>
      </c>
      <c r="J30" s="166">
        <f>25*1.5*6*6/1000</f>
        <v>1.35</v>
      </c>
      <c r="K30" s="168">
        <v>26</v>
      </c>
      <c r="L30" s="154">
        <f t="shared" ref="L30:L32" si="0">+TAN(0.66*$B$14*PI()/180)</f>
        <v>0.44021887101067064</v>
      </c>
      <c r="M30" s="166">
        <f t="shared" ref="M30:M32" si="1">+K30/($F$28+J30)</f>
        <v>1.2177985948477752</v>
      </c>
      <c r="N30" s="167">
        <f t="shared" ref="N30:N32" si="2">+(J30+$F$29)*L30/$F$30</f>
        <v>1.6178043509642146</v>
      </c>
      <c r="O30" s="154"/>
      <c r="P30" s="107">
        <v>721</v>
      </c>
    </row>
    <row r="31" spans="1:20">
      <c r="A31" s="107"/>
      <c r="I31" s="165" t="s">
        <v>215</v>
      </c>
      <c r="J31" s="166">
        <f>25*1.5*7*7/1000</f>
        <v>1.8374999999999999</v>
      </c>
      <c r="K31" s="154">
        <v>41.2</v>
      </c>
      <c r="L31" s="154">
        <f t="shared" si="0"/>
        <v>0.44021887101067064</v>
      </c>
      <c r="M31" s="166">
        <f t="shared" si="1"/>
        <v>1.8866628506010306</v>
      </c>
      <c r="N31" s="167">
        <f t="shared" si="2"/>
        <v>1.7251077007730657</v>
      </c>
      <c r="O31" s="154"/>
      <c r="P31" s="107">
        <v>841</v>
      </c>
    </row>
    <row r="32" spans="1:20" ht="13.5" thickBot="1">
      <c r="A32" s="107"/>
      <c r="B32" s="145"/>
      <c r="I32" s="158" t="s">
        <v>216</v>
      </c>
      <c r="J32" s="169">
        <f>25*1.5*8*8/1000</f>
        <v>2.4</v>
      </c>
      <c r="K32" s="159">
        <v>50.7</v>
      </c>
      <c r="L32" s="159">
        <f t="shared" si="0"/>
        <v>0.44021887101067064</v>
      </c>
      <c r="M32" s="169">
        <f t="shared" si="1"/>
        <v>2.2633928571428572</v>
      </c>
      <c r="N32" s="170">
        <f t="shared" si="2"/>
        <v>1.8489192582448168</v>
      </c>
      <c r="O32" s="154"/>
      <c r="P32" s="107">
        <v>901</v>
      </c>
    </row>
    <row r="33" spans="1:15" ht="15.5">
      <c r="A33" s="107"/>
      <c r="I33" s="154"/>
      <c r="J33" s="154"/>
      <c r="K33" s="6"/>
      <c r="L33" s="154"/>
      <c r="M33" s="154"/>
      <c r="N33" s="154"/>
      <c r="O33" s="154"/>
    </row>
    <row r="34" spans="1:15">
      <c r="A34" s="107"/>
    </row>
    <row r="35" spans="1:15">
      <c r="A35" s="107"/>
    </row>
    <row r="36" spans="1:15" ht="13">
      <c r="A36" s="109"/>
    </row>
    <row r="37" spans="1:15">
      <c r="A37" s="107"/>
      <c r="B37" s="147"/>
    </row>
    <row r="38" spans="1:15">
      <c r="A38" s="107"/>
      <c r="B38" s="147"/>
    </row>
    <row r="39" spans="1:15" ht="13">
      <c r="A39" s="109"/>
      <c r="B39" s="150"/>
      <c r="C39" s="109"/>
    </row>
    <row r="40" spans="1:15">
      <c r="A40" s="107"/>
    </row>
    <row r="41" spans="1:15">
      <c r="A41" s="107"/>
    </row>
    <row r="42" spans="1:15" ht="13">
      <c r="A42" s="109"/>
    </row>
    <row r="43" spans="1:15">
      <c r="A43" s="107"/>
    </row>
    <row r="44" spans="1:15">
      <c r="A44" s="107"/>
    </row>
    <row r="45" spans="1:15">
      <c r="A45" s="107"/>
    </row>
    <row r="46" spans="1:15" ht="13">
      <c r="A46" s="109"/>
    </row>
    <row r="47" spans="1:15">
      <c r="A47" s="107"/>
    </row>
    <row r="48" spans="1:15">
      <c r="A48" s="107"/>
      <c r="B48" s="146"/>
    </row>
    <row r="49" spans="1:1">
      <c r="A49" s="107"/>
    </row>
    <row r="50" spans="1:1">
      <c r="A50" s="107"/>
    </row>
    <row r="51" spans="1:1">
      <c r="A51" s="107"/>
    </row>
    <row r="52" spans="1:1">
      <c r="A52" s="107"/>
    </row>
    <row r="53" spans="1:1">
      <c r="A53" s="107"/>
    </row>
    <row r="54" spans="1:1">
      <c r="A54" s="107"/>
    </row>
    <row r="55" spans="1:1">
      <c r="A55" s="107"/>
    </row>
    <row r="56" spans="1:1">
      <c r="A56" s="107"/>
    </row>
    <row r="57" spans="1:1">
      <c r="A57" s="107"/>
    </row>
    <row r="58" spans="1:1">
      <c r="A58" s="107"/>
    </row>
    <row r="59" spans="1:1">
      <c r="A59" s="107"/>
    </row>
    <row r="60" spans="1:1">
      <c r="A60" s="107"/>
    </row>
    <row r="61" spans="1:1">
      <c r="A61" s="107"/>
    </row>
    <row r="62" spans="1:1">
      <c r="A62" s="107"/>
    </row>
    <row r="63" spans="1:1">
      <c r="A63" s="107"/>
    </row>
    <row r="64" spans="1:1">
      <c r="A64" s="107"/>
    </row>
    <row r="65" spans="1:1">
      <c r="A65" s="107"/>
    </row>
    <row r="66" spans="1:1">
      <c r="A66" s="107"/>
    </row>
    <row r="67" spans="1:1">
      <c r="A67" s="107"/>
    </row>
    <row r="68" spans="1:1">
      <c r="A68" s="107"/>
    </row>
    <row r="69" spans="1:1">
      <c r="A69" s="107"/>
    </row>
    <row r="70" spans="1:1">
      <c r="A70" s="107"/>
    </row>
  </sheetData>
  <mergeCells count="5">
    <mergeCell ref="I4:M4"/>
    <mergeCell ref="P4:S4"/>
    <mergeCell ref="B11:E11"/>
    <mergeCell ref="G11:J11"/>
    <mergeCell ref="B16:K16"/>
  </mergeCells>
  <printOptions horizontalCentered="1" verticalCentered="1"/>
  <pageMargins left="0.78740157480314965" right="0.78740157480314965" top="0.98425196850393704" bottom="0.98425196850393704" header="0" footer="0.51181102362204722"/>
  <pageSetup firstPageNumber="0" orientation="portrait"/>
  <drawing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64C3D-AC9A-5F46-A607-5F95E6EC387A}">
  <dimension ref="A1:J74"/>
  <sheetViews>
    <sheetView topLeftCell="A52" zoomScale="113" workbookViewId="0">
      <selection activeCell="E79" sqref="E79"/>
    </sheetView>
  </sheetViews>
  <sheetFormatPr baseColWidth="10" defaultColWidth="10.75" defaultRowHeight="14.5" outlineLevelRow="1"/>
  <cols>
    <col min="1" max="1" width="10.75" style="91"/>
    <col min="2" max="4" width="10.75" style="91" customWidth="1"/>
    <col min="5" max="6" width="10.75" style="91"/>
    <col min="7" max="8" width="10.75" style="91" customWidth="1"/>
    <col min="9" max="10" width="13" style="91" customWidth="1"/>
    <col min="11" max="16384" width="10.75" style="91"/>
  </cols>
  <sheetData>
    <row r="1" spans="1:10">
      <c r="A1" s="171" t="s">
        <v>217</v>
      </c>
      <c r="B1" s="172"/>
      <c r="C1" s="172"/>
      <c r="D1" s="172"/>
      <c r="E1" s="172"/>
      <c r="F1" s="172"/>
      <c r="G1" s="172"/>
      <c r="H1" s="172"/>
      <c r="I1" s="172"/>
      <c r="J1" s="172"/>
    </row>
    <row r="2" spans="1:10">
      <c r="A2" s="173" t="s">
        <v>24</v>
      </c>
    </row>
    <row r="3" spans="1:10" outlineLevel="1">
      <c r="A3" s="91" t="s">
        <v>6</v>
      </c>
      <c r="B3" s="91">
        <v>16</v>
      </c>
      <c r="C3" s="91" t="s">
        <v>7</v>
      </c>
      <c r="D3" s="91" t="s">
        <v>218</v>
      </c>
      <c r="E3" s="91">
        <v>0.4</v>
      </c>
      <c r="F3" s="91" t="s">
        <v>3</v>
      </c>
    </row>
    <row r="4" spans="1:10" outlineLevel="1">
      <c r="A4" s="91" t="s">
        <v>219</v>
      </c>
      <c r="B4" s="91">
        <v>0</v>
      </c>
      <c r="C4" s="91" t="s">
        <v>3</v>
      </c>
    </row>
    <row r="5" spans="1:10" outlineLevel="1">
      <c r="A5" s="91" t="s">
        <v>123</v>
      </c>
      <c r="B5" s="91">
        <v>14</v>
      </c>
    </row>
    <row r="6" spans="1:10" outlineLevel="1"/>
    <row r="7" spans="1:10" ht="16" outlineLevel="1">
      <c r="A7" s="174" t="s">
        <v>220</v>
      </c>
      <c r="B7" s="174" t="s">
        <v>221</v>
      </c>
      <c r="C7" s="175" t="s">
        <v>222</v>
      </c>
      <c r="D7" s="175" t="s">
        <v>223</v>
      </c>
      <c r="E7" s="175" t="s">
        <v>224</v>
      </c>
      <c r="F7" s="198" t="s">
        <v>225</v>
      </c>
      <c r="G7" s="199" t="s">
        <v>226</v>
      </c>
    </row>
    <row r="8" spans="1:10" outlineLevel="1">
      <c r="A8" s="179" t="s">
        <v>46</v>
      </c>
      <c r="B8" s="179" t="s">
        <v>46</v>
      </c>
      <c r="C8" s="180" t="s">
        <v>44</v>
      </c>
      <c r="D8" s="180" t="s">
        <v>45</v>
      </c>
      <c r="E8" s="180" t="s">
        <v>53</v>
      </c>
      <c r="F8" s="180" t="s">
        <v>53</v>
      </c>
      <c r="G8" s="181" t="s">
        <v>53</v>
      </c>
    </row>
    <row r="9" spans="1:10" outlineLevel="1">
      <c r="A9" s="200" t="s">
        <v>227</v>
      </c>
      <c r="B9" s="174" t="s">
        <v>228</v>
      </c>
      <c r="C9" s="175">
        <v>1</v>
      </c>
      <c r="D9" s="175">
        <v>2.5</v>
      </c>
      <c r="E9" s="175">
        <v>70</v>
      </c>
      <c r="F9" s="175">
        <f>+C9*$B$3</f>
        <v>16</v>
      </c>
      <c r="G9" s="176">
        <f>+C9*($B$3-10)</f>
        <v>6</v>
      </c>
    </row>
    <row r="10" spans="1:10" outlineLevel="1">
      <c r="A10" s="202" t="s">
        <v>229</v>
      </c>
      <c r="B10" s="177" t="s">
        <v>230</v>
      </c>
      <c r="C10" s="89">
        <v>3</v>
      </c>
      <c r="D10" s="89">
        <v>2.8</v>
      </c>
      <c r="E10" s="89">
        <v>20</v>
      </c>
      <c r="F10" s="89">
        <f>+C10*$B$3</f>
        <v>48</v>
      </c>
      <c r="G10" s="178">
        <f>+C10*($B$3-10)</f>
        <v>18</v>
      </c>
    </row>
    <row r="11" spans="1:10" outlineLevel="1">
      <c r="A11" s="202" t="s">
        <v>231</v>
      </c>
      <c r="B11" s="197" t="s">
        <v>232</v>
      </c>
      <c r="C11" s="89">
        <v>5</v>
      </c>
      <c r="D11" s="89">
        <v>0.8</v>
      </c>
      <c r="E11" s="89">
        <v>15</v>
      </c>
      <c r="F11" s="89">
        <f>+C11*$B$3</f>
        <v>80</v>
      </c>
      <c r="G11" s="178">
        <f>+C11*($B$3-10)</f>
        <v>30</v>
      </c>
    </row>
    <row r="12" spans="1:10" outlineLevel="1">
      <c r="A12" s="201" t="s">
        <v>233</v>
      </c>
      <c r="B12" s="179" t="s">
        <v>234</v>
      </c>
      <c r="C12" s="180">
        <v>8</v>
      </c>
      <c r="D12" s="180">
        <v>0.5</v>
      </c>
      <c r="E12" s="180">
        <v>8</v>
      </c>
      <c r="F12" s="180">
        <f>+C12*$B$3</f>
        <v>128</v>
      </c>
      <c r="G12" s="181">
        <f>+C12*($B$3-10)</f>
        <v>48</v>
      </c>
    </row>
    <row r="14" spans="1:10">
      <c r="A14" s="173" t="s">
        <v>59</v>
      </c>
    </row>
    <row r="16" spans="1:10" ht="16" outlineLevel="1">
      <c r="A16" s="174" t="s">
        <v>220</v>
      </c>
      <c r="B16" s="198" t="s">
        <v>225</v>
      </c>
      <c r="C16" s="198" t="s">
        <v>226</v>
      </c>
      <c r="D16" s="175" t="s">
        <v>235</v>
      </c>
      <c r="E16" s="175" t="s">
        <v>236</v>
      </c>
      <c r="F16" s="176" t="s">
        <v>237</v>
      </c>
      <c r="G16" s="176" t="s">
        <v>238</v>
      </c>
      <c r="H16" s="89"/>
      <c r="I16" s="89"/>
      <c r="J16" s="89"/>
    </row>
    <row r="17" spans="1:10" outlineLevel="1">
      <c r="A17" s="179" t="s">
        <v>46</v>
      </c>
      <c r="B17" s="180" t="s">
        <v>53</v>
      </c>
      <c r="C17" s="180" t="s">
        <v>53</v>
      </c>
      <c r="D17" s="180" t="s">
        <v>45</v>
      </c>
      <c r="E17" s="180" t="s">
        <v>46</v>
      </c>
      <c r="F17" s="181" t="s">
        <v>46</v>
      </c>
      <c r="G17" s="181" t="s">
        <v>46</v>
      </c>
      <c r="H17" s="89"/>
      <c r="I17" s="89"/>
      <c r="J17" s="89"/>
    </row>
    <row r="18" spans="1:10" outlineLevel="1">
      <c r="A18" s="200" t="s">
        <v>227</v>
      </c>
      <c r="B18" s="89">
        <f t="shared" ref="B18:C21" si="0">+F9</f>
        <v>16</v>
      </c>
      <c r="C18" s="89">
        <f t="shared" si="0"/>
        <v>6</v>
      </c>
      <c r="D18" s="94">
        <f>+D9-B18/1000</f>
        <v>2.484</v>
      </c>
      <c r="E18" s="95">
        <f>+D18/C18</f>
        <v>0.41399999999999998</v>
      </c>
      <c r="F18" s="203">
        <f>+E9/1000/D18</f>
        <v>2.8180354267310793E-2</v>
      </c>
      <c r="G18" s="182">
        <f>-0.05/D18</f>
        <v>-2.0128824476650566E-2</v>
      </c>
      <c r="H18" s="95"/>
      <c r="I18" s="95"/>
      <c r="J18" s="95"/>
    </row>
    <row r="19" spans="1:10" outlineLevel="1">
      <c r="A19" s="202" t="s">
        <v>229</v>
      </c>
      <c r="B19" s="89">
        <f t="shared" si="0"/>
        <v>48</v>
      </c>
      <c r="C19" s="89">
        <f t="shared" si="0"/>
        <v>18</v>
      </c>
      <c r="D19" s="94">
        <f>+D10-B19/1000</f>
        <v>2.7519999999999998</v>
      </c>
      <c r="E19" s="95">
        <f t="shared" ref="E19:E21" si="1">+D19/C19</f>
        <v>0.15288888888888888</v>
      </c>
      <c r="F19" s="203">
        <f>+E10/1000/D19</f>
        <v>7.267441860465117E-3</v>
      </c>
      <c r="G19" s="182">
        <v>0</v>
      </c>
      <c r="H19" s="95"/>
      <c r="I19" s="95"/>
      <c r="J19" s="95"/>
    </row>
    <row r="20" spans="1:10" outlineLevel="1">
      <c r="A20" s="202" t="s">
        <v>231</v>
      </c>
      <c r="B20" s="89">
        <f t="shared" si="0"/>
        <v>80</v>
      </c>
      <c r="C20" s="89">
        <f t="shared" si="0"/>
        <v>30</v>
      </c>
      <c r="D20" s="94">
        <f>+D11-B20/1000</f>
        <v>0.72000000000000008</v>
      </c>
      <c r="E20" s="95">
        <f t="shared" si="1"/>
        <v>2.4000000000000004E-2</v>
      </c>
      <c r="F20" s="203">
        <f>+E11/1000/D20</f>
        <v>2.0833333333333329E-2</v>
      </c>
      <c r="G20" s="182">
        <f>(0.4-0.05)/D20</f>
        <v>0.4861111111111111</v>
      </c>
      <c r="H20" s="95"/>
      <c r="I20" s="95"/>
      <c r="J20" s="95"/>
    </row>
    <row r="21" spans="1:10" outlineLevel="1">
      <c r="A21" s="201" t="s">
        <v>233</v>
      </c>
      <c r="B21" s="180">
        <f t="shared" si="0"/>
        <v>128</v>
      </c>
      <c r="C21" s="180">
        <f t="shared" si="0"/>
        <v>48</v>
      </c>
      <c r="D21" s="183">
        <f>+D12-B21/1000</f>
        <v>0.372</v>
      </c>
      <c r="E21" s="184">
        <f t="shared" si="1"/>
        <v>7.7499999999999999E-3</v>
      </c>
      <c r="F21" s="204">
        <f>+E12/1000/D21</f>
        <v>2.1505376344086023E-2</v>
      </c>
      <c r="G21" s="185">
        <f>(0.225-0.05)/D21</f>
        <v>0.47043010752688169</v>
      </c>
      <c r="H21" s="95"/>
      <c r="I21" s="95"/>
      <c r="J21" s="95"/>
    </row>
    <row r="23" spans="1:10">
      <c r="A23" s="192" t="s">
        <v>239</v>
      </c>
      <c r="B23" s="188"/>
    </row>
    <row r="24" spans="1:10" outlineLevel="1">
      <c r="A24" s="174" t="s">
        <v>220</v>
      </c>
      <c r="B24" s="229" t="s">
        <v>240</v>
      </c>
      <c r="C24" s="230"/>
    </row>
    <row r="25" spans="1:10" outlineLevel="1">
      <c r="A25" s="179" t="s">
        <v>46</v>
      </c>
      <c r="B25" s="231"/>
      <c r="C25" s="232"/>
    </row>
    <row r="26" spans="1:10" outlineLevel="1">
      <c r="A26" s="200" t="s">
        <v>227</v>
      </c>
      <c r="B26" s="89">
        <v>2</v>
      </c>
      <c r="C26" s="189" t="s">
        <v>241</v>
      </c>
    </row>
    <row r="27" spans="1:10" outlineLevel="1">
      <c r="A27" s="202" t="s">
        <v>229</v>
      </c>
      <c r="B27" s="89">
        <v>1</v>
      </c>
      <c r="C27" s="189" t="s">
        <v>242</v>
      </c>
    </row>
    <row r="28" spans="1:10" outlineLevel="1">
      <c r="A28" s="202" t="s">
        <v>231</v>
      </c>
      <c r="B28" s="89">
        <v>2</v>
      </c>
      <c r="C28" s="189" t="s">
        <v>242</v>
      </c>
    </row>
    <row r="29" spans="1:10" outlineLevel="1">
      <c r="A29" s="201" t="s">
        <v>233</v>
      </c>
      <c r="B29" s="180">
        <v>2</v>
      </c>
      <c r="C29" s="190" t="s">
        <v>242</v>
      </c>
    </row>
    <row r="31" spans="1:10">
      <c r="A31" s="186" t="s">
        <v>243</v>
      </c>
      <c r="B31" s="191"/>
      <c r="C31" s="187"/>
    </row>
    <row r="32" spans="1:10" outlineLevel="1">
      <c r="A32" s="174" t="s">
        <v>220</v>
      </c>
      <c r="B32" s="176" t="s">
        <v>244</v>
      </c>
      <c r="C32" s="175"/>
      <c r="D32" s="206"/>
    </row>
    <row r="33" spans="1:7" outlineLevel="1">
      <c r="A33" s="179" t="s">
        <v>46</v>
      </c>
      <c r="B33" s="181" t="s">
        <v>53</v>
      </c>
      <c r="C33" s="89"/>
      <c r="D33" s="205"/>
    </row>
    <row r="34" spans="1:7" outlineLevel="1">
      <c r="A34" s="174" t="s">
        <v>227</v>
      </c>
      <c r="B34" s="194">
        <f>+(D18/$B$5)*1000</f>
        <v>177.42857142857144</v>
      </c>
      <c r="C34" s="89"/>
      <c r="D34" s="194"/>
    </row>
    <row r="35" spans="1:7" outlineLevel="1">
      <c r="A35" s="177" t="s">
        <v>229</v>
      </c>
      <c r="B35" s="194">
        <f t="shared" ref="B35:B37" si="2">+(D19/$B$5)*1000</f>
        <v>196.57142857142856</v>
      </c>
      <c r="C35" s="89"/>
      <c r="D35" s="194"/>
    </row>
    <row r="36" spans="1:7" outlineLevel="1">
      <c r="A36" s="177" t="s">
        <v>231</v>
      </c>
      <c r="B36" s="194">
        <f t="shared" si="2"/>
        <v>51.428571428571438</v>
      </c>
      <c r="C36" s="89"/>
      <c r="D36" s="194"/>
    </row>
    <row r="37" spans="1:7" outlineLevel="1">
      <c r="A37" s="179" t="s">
        <v>233</v>
      </c>
      <c r="B37" s="196">
        <f t="shared" si="2"/>
        <v>26.571428571428573</v>
      </c>
      <c r="C37" s="180"/>
      <c r="D37" s="196"/>
    </row>
    <row r="40" spans="1:7">
      <c r="A40" s="91" t="s">
        <v>245</v>
      </c>
    </row>
    <row r="41" spans="1:7">
      <c r="A41" s="174" t="s">
        <v>220</v>
      </c>
      <c r="B41" s="175" t="s">
        <v>246</v>
      </c>
      <c r="C41" s="175" t="s">
        <v>124</v>
      </c>
      <c r="D41" s="193" t="s">
        <v>247</v>
      </c>
      <c r="E41" s="175" t="s">
        <v>248</v>
      </c>
      <c r="F41" s="176" t="s">
        <v>249</v>
      </c>
    </row>
    <row r="42" spans="1:7">
      <c r="A42" s="179" t="s">
        <v>46</v>
      </c>
      <c r="B42" s="180" t="s">
        <v>44</v>
      </c>
      <c r="C42" s="180" t="s">
        <v>53</v>
      </c>
      <c r="D42" s="180" t="s">
        <v>46</v>
      </c>
      <c r="E42" s="180" t="s">
        <v>53</v>
      </c>
      <c r="F42" s="181" t="s">
        <v>250</v>
      </c>
    </row>
    <row r="43" spans="1:7">
      <c r="A43" s="177" t="s">
        <v>227</v>
      </c>
      <c r="B43" s="89">
        <v>2</v>
      </c>
      <c r="C43" s="97">
        <f>+B34</f>
        <v>177.42857142857144</v>
      </c>
      <c r="D43" s="94">
        <f>+IF(C43&lt;32,1,0.21+26/C43)</f>
        <v>0.35653784219001605</v>
      </c>
      <c r="E43" s="97">
        <f>+D43*C43</f>
        <v>63.26</v>
      </c>
      <c r="F43" s="207">
        <f>+B43*PI()*$E$3</f>
        <v>2.5132741228718345</v>
      </c>
      <c r="G43" s="96">
        <f>+E43*F43</f>
        <v>158.98972101287225</v>
      </c>
    </row>
    <row r="44" spans="1:7">
      <c r="A44" s="177" t="s">
        <v>229</v>
      </c>
      <c r="B44" s="89">
        <v>2</v>
      </c>
      <c r="C44" s="97">
        <f t="shared" ref="C44:C46" si="3">+B35</f>
        <v>196.57142857142856</v>
      </c>
      <c r="D44" s="94">
        <f t="shared" ref="D44:D46" si="4">+IF(C44&lt;32,1,0.21+26/C44)</f>
        <v>0.34226744186046509</v>
      </c>
      <c r="E44" s="97">
        <f t="shared" ref="E44:E46" si="5">+D44*C44</f>
        <v>67.279999999999987</v>
      </c>
      <c r="F44" s="207">
        <f t="shared" ref="F44:F46" si="6">+B44*PI()*$E$3</f>
        <v>2.5132741228718345</v>
      </c>
      <c r="G44" s="96">
        <f t="shared" ref="G44:G46" si="7">+E44*F44</f>
        <v>169.093082986817</v>
      </c>
    </row>
    <row r="45" spans="1:7">
      <c r="A45" s="177" t="s">
        <v>231</v>
      </c>
      <c r="B45" s="89">
        <v>2</v>
      </c>
      <c r="C45" s="97">
        <f t="shared" si="3"/>
        <v>51.428571428571438</v>
      </c>
      <c r="D45" s="94">
        <f t="shared" si="4"/>
        <v>0.71555555555555539</v>
      </c>
      <c r="E45" s="97">
        <f t="shared" si="5"/>
        <v>36.799999999999997</v>
      </c>
      <c r="F45" s="207">
        <f t="shared" si="6"/>
        <v>2.5132741228718345</v>
      </c>
      <c r="G45" s="96">
        <f t="shared" si="7"/>
        <v>92.488487721683498</v>
      </c>
    </row>
    <row r="46" spans="1:7">
      <c r="A46" s="179" t="s">
        <v>233</v>
      </c>
      <c r="B46" s="180">
        <v>4</v>
      </c>
      <c r="C46" s="208">
        <f t="shared" si="3"/>
        <v>26.571428571428573</v>
      </c>
      <c r="D46" s="183">
        <f t="shared" si="4"/>
        <v>1</v>
      </c>
      <c r="E46" s="208">
        <f t="shared" si="5"/>
        <v>26.571428571428573</v>
      </c>
      <c r="F46" s="209">
        <f t="shared" si="6"/>
        <v>5.026548245743669</v>
      </c>
      <c r="G46" s="96">
        <f t="shared" si="7"/>
        <v>133.56256767261749</v>
      </c>
    </row>
    <row r="48" spans="1:7">
      <c r="F48" s="91" t="s">
        <v>251</v>
      </c>
      <c r="G48" s="96">
        <f>+SUM(G43:G46)</f>
        <v>554.13385939399018</v>
      </c>
    </row>
    <row r="50" spans="1:10">
      <c r="A50" s="171" t="s">
        <v>252</v>
      </c>
      <c r="B50" s="172"/>
      <c r="C50" s="172"/>
      <c r="D50" s="172"/>
      <c r="E50" s="172"/>
      <c r="F50" s="172"/>
      <c r="G50" s="172"/>
      <c r="H50" s="172"/>
      <c r="I50" s="172"/>
      <c r="J50" s="172"/>
    </row>
    <row r="52" spans="1:10">
      <c r="A52" s="174" t="s">
        <v>220</v>
      </c>
      <c r="B52" s="175" t="s">
        <v>108</v>
      </c>
      <c r="C52" s="175" t="s">
        <v>109</v>
      </c>
      <c r="D52" s="176" t="s">
        <v>0</v>
      </c>
    </row>
    <row r="53" spans="1:10">
      <c r="A53" s="179" t="s">
        <v>46</v>
      </c>
      <c r="B53" s="180" t="s">
        <v>113</v>
      </c>
      <c r="C53" s="180" t="s">
        <v>113</v>
      </c>
      <c r="D53" s="181" t="s">
        <v>46</v>
      </c>
    </row>
    <row r="54" spans="1:10">
      <c r="A54" s="177" t="s">
        <v>227</v>
      </c>
      <c r="B54" s="89">
        <v>45</v>
      </c>
      <c r="C54" s="89">
        <v>25</v>
      </c>
      <c r="D54" s="210">
        <v>2.2999999999999998</v>
      </c>
    </row>
    <row r="55" spans="1:10">
      <c r="A55" s="177" t="s">
        <v>229</v>
      </c>
      <c r="B55" s="89">
        <v>45</v>
      </c>
      <c r="C55" s="89">
        <v>25</v>
      </c>
      <c r="D55" s="210">
        <v>2.2999999999999998</v>
      </c>
    </row>
    <row r="56" spans="1:10">
      <c r="A56" s="177" t="s">
        <v>231</v>
      </c>
      <c r="B56" s="89">
        <v>75</v>
      </c>
      <c r="C56" s="89">
        <v>30</v>
      </c>
      <c r="D56" s="210">
        <v>1</v>
      </c>
    </row>
    <row r="57" spans="1:10">
      <c r="A57" s="179" t="s">
        <v>233</v>
      </c>
      <c r="B57" s="180">
        <v>80</v>
      </c>
      <c r="C57" s="180">
        <v>25</v>
      </c>
      <c r="D57" s="211">
        <v>1</v>
      </c>
    </row>
    <row r="60" spans="1:10" ht="16.5">
      <c r="A60" s="174" t="s">
        <v>220</v>
      </c>
      <c r="B60" s="175" t="s">
        <v>253</v>
      </c>
      <c r="C60" s="198" t="s">
        <v>254</v>
      </c>
      <c r="D60" s="199" t="s">
        <v>255</v>
      </c>
      <c r="E60" s="89"/>
      <c r="F60" s="89" t="s">
        <v>256</v>
      </c>
      <c r="G60" s="89" t="s">
        <v>257</v>
      </c>
    </row>
    <row r="61" spans="1:10">
      <c r="A61" s="179" t="s">
        <v>46</v>
      </c>
      <c r="B61" s="180" t="s">
        <v>113</v>
      </c>
      <c r="C61" s="180" t="s">
        <v>258</v>
      </c>
      <c r="D61" s="181" t="s">
        <v>258</v>
      </c>
      <c r="E61" s="89"/>
      <c r="F61" s="179" t="s">
        <v>46</v>
      </c>
      <c r="G61" s="179" t="s">
        <v>46</v>
      </c>
    </row>
    <row r="62" spans="1:10">
      <c r="A62" s="177" t="s">
        <v>227</v>
      </c>
      <c r="B62" s="89">
        <f>+B54-C54</f>
        <v>20</v>
      </c>
      <c r="C62" s="89">
        <v>27</v>
      </c>
      <c r="D62" s="194">
        <f>+ATAN(1.2*(LN(D54)^0.5)*F62)*180/PI()</f>
        <v>29.162176125526045</v>
      </c>
      <c r="E62" s="89"/>
      <c r="F62" s="95">
        <f>+TAN(C62*PI()/180)</f>
        <v>0.50952544949442879</v>
      </c>
      <c r="G62" s="95">
        <f>+TAN(0.75*D62*PI()/180)</f>
        <v>0.40142241227432351</v>
      </c>
    </row>
    <row r="63" spans="1:10">
      <c r="A63" s="177" t="s">
        <v>229</v>
      </c>
      <c r="B63" s="89">
        <f t="shared" ref="B63:B65" si="8">+B55-C55</f>
        <v>20</v>
      </c>
      <c r="C63" s="89">
        <v>27</v>
      </c>
      <c r="D63" s="194">
        <f>+ATAN(1.2*(LN(D55))^0.5*F63)*180/PI()</f>
        <v>29.162176125526045</v>
      </c>
      <c r="E63" s="89"/>
      <c r="F63" s="95">
        <f t="shared" ref="F63" si="9">+TAN(C63*PI()/180)</f>
        <v>0.50952544949442879</v>
      </c>
      <c r="G63" s="95">
        <f t="shared" ref="G63:G65" si="10">+TAN(0.75*D63*PI()/180)</f>
        <v>0.40142241227432351</v>
      </c>
    </row>
    <row r="64" spans="1:10">
      <c r="A64" s="177" t="s">
        <v>231</v>
      </c>
      <c r="B64" s="89">
        <f t="shared" si="8"/>
        <v>45</v>
      </c>
      <c r="C64" s="89">
        <v>22</v>
      </c>
      <c r="D64" s="194">
        <v>22</v>
      </c>
      <c r="E64" s="89"/>
      <c r="F64" s="95"/>
      <c r="G64" s="95">
        <f t="shared" si="10"/>
        <v>0.29621349496208027</v>
      </c>
    </row>
    <row r="65" spans="1:7">
      <c r="A65" s="179" t="s">
        <v>233</v>
      </c>
      <c r="B65" s="180">
        <f t="shared" si="8"/>
        <v>55</v>
      </c>
      <c r="C65" s="180">
        <v>22</v>
      </c>
      <c r="D65" s="196">
        <v>22</v>
      </c>
      <c r="E65" s="89"/>
      <c r="F65" s="95"/>
      <c r="G65" s="95">
        <f t="shared" si="10"/>
        <v>0.29621349496208027</v>
      </c>
    </row>
    <row r="67" spans="1:7" ht="16">
      <c r="A67" s="174" t="s">
        <v>220</v>
      </c>
      <c r="B67" s="175" t="s">
        <v>246</v>
      </c>
      <c r="C67" s="198" t="s">
        <v>226</v>
      </c>
      <c r="D67" s="212" t="s">
        <v>259</v>
      </c>
      <c r="E67" s="175" t="s">
        <v>248</v>
      </c>
      <c r="F67" s="176" t="s">
        <v>249</v>
      </c>
    </row>
    <row r="68" spans="1:7">
      <c r="A68" s="179" t="s">
        <v>46</v>
      </c>
      <c r="B68" s="180" t="s">
        <v>44</v>
      </c>
      <c r="C68" s="180" t="s">
        <v>53</v>
      </c>
      <c r="D68" s="180" t="s">
        <v>46</v>
      </c>
      <c r="E68" s="180" t="s">
        <v>53</v>
      </c>
      <c r="F68" s="181" t="s">
        <v>250</v>
      </c>
    </row>
    <row r="69" spans="1:7">
      <c r="A69" s="177" t="s">
        <v>227</v>
      </c>
      <c r="B69" s="89">
        <v>2</v>
      </c>
      <c r="C69" s="89">
        <f>+C18</f>
        <v>6</v>
      </c>
      <c r="D69" s="96">
        <f>+IF(C69&lt;32,1,0.21+26/C69)</f>
        <v>1</v>
      </c>
      <c r="E69" s="97">
        <f>+D69*C69*G62</f>
        <v>2.4085344736459411</v>
      </c>
      <c r="F69" s="207">
        <f>+B69*PI()*$E$3</f>
        <v>2.5132741228718345</v>
      </c>
      <c r="G69" s="96">
        <f>+E69*F69</f>
        <v>6.0533073666590784</v>
      </c>
    </row>
    <row r="70" spans="1:7">
      <c r="A70" s="177" t="s">
        <v>229</v>
      </c>
      <c r="B70" s="89">
        <v>2</v>
      </c>
      <c r="C70" s="89">
        <f t="shared" ref="C70:C72" si="11">+C19</f>
        <v>18</v>
      </c>
      <c r="D70" s="96">
        <v>1</v>
      </c>
      <c r="E70" s="97">
        <f t="shared" ref="E70:E72" si="12">+D70*C70*G63</f>
        <v>7.2256034209378228</v>
      </c>
      <c r="F70" s="207">
        <f t="shared" ref="F70:F72" si="13">+B70*PI()*$E$3</f>
        <v>2.5132741228718345</v>
      </c>
      <c r="G70" s="96">
        <f t="shared" ref="G70:G72" si="14">+E70*F70</f>
        <v>18.159922099977234</v>
      </c>
    </row>
    <row r="71" spans="1:7">
      <c r="A71" s="177" t="s">
        <v>231</v>
      </c>
      <c r="B71" s="89">
        <v>2</v>
      </c>
      <c r="C71" s="89">
        <f t="shared" si="11"/>
        <v>30</v>
      </c>
      <c r="D71" s="96">
        <f t="shared" ref="D71" si="15">+IF(C71&lt;32,1,0.21+26/C71)</f>
        <v>1</v>
      </c>
      <c r="E71" s="97">
        <f t="shared" si="12"/>
        <v>8.8864048488624086</v>
      </c>
      <c r="F71" s="207">
        <f t="shared" si="13"/>
        <v>2.5132741228718345</v>
      </c>
      <c r="G71" s="96">
        <f t="shared" si="14"/>
        <v>22.333971352008685</v>
      </c>
    </row>
    <row r="72" spans="1:7">
      <c r="A72" s="179" t="s">
        <v>233</v>
      </c>
      <c r="B72" s="180">
        <v>4</v>
      </c>
      <c r="C72" s="180">
        <f t="shared" si="11"/>
        <v>48</v>
      </c>
      <c r="D72" s="195">
        <v>1</v>
      </c>
      <c r="E72" s="208">
        <f t="shared" si="12"/>
        <v>14.218247758179853</v>
      </c>
      <c r="F72" s="209">
        <f t="shared" si="13"/>
        <v>5.026548245743669</v>
      </c>
      <c r="G72" s="96">
        <f t="shared" si="14"/>
        <v>71.468708326427787</v>
      </c>
    </row>
    <row r="74" spans="1:7">
      <c r="F74" s="91" t="s">
        <v>251</v>
      </c>
      <c r="G74" s="96">
        <f>+SUM(G69:G72)</f>
        <v>118.01590914507278</v>
      </c>
    </row>
  </sheetData>
  <mergeCells count="1">
    <mergeCell ref="B24:C25"/>
  </mergeCells>
  <pageMargins left="0.7" right="0.7" top="0.75" bottom="0.75" header="0.3" footer="0.3"/>
  <pageSetup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B971D-16ED-6E40-BB3D-630BCB3DE68F}">
  <sheetPr>
    <pageSetUpPr fitToPage="1"/>
  </sheetPr>
  <dimension ref="A1:J172"/>
  <sheetViews>
    <sheetView tabSelected="1" zoomScaleNormal="100" workbookViewId="0">
      <selection activeCell="G121" sqref="G121"/>
    </sheetView>
  </sheetViews>
  <sheetFormatPr baseColWidth="10" defaultColWidth="11" defaultRowHeight="15.5" outlineLevelRow="1"/>
  <cols>
    <col min="3" max="3" width="14.33203125" bestFit="1" customWidth="1"/>
    <col min="7" max="7" width="19.75" customWidth="1"/>
  </cols>
  <sheetData>
    <row r="1" spans="1:10">
      <c r="A1" s="233" t="s">
        <v>23</v>
      </c>
      <c r="B1" s="233"/>
      <c r="C1" s="233"/>
      <c r="D1" s="233"/>
      <c r="E1" s="233"/>
      <c r="F1" s="233"/>
      <c r="G1" s="233"/>
      <c r="H1" s="233"/>
      <c r="I1" s="233"/>
      <c r="J1" s="233"/>
    </row>
    <row r="2" spans="1:10">
      <c r="A2" s="233"/>
      <c r="B2" s="233"/>
      <c r="C2" s="233"/>
      <c r="D2" s="233"/>
      <c r="E2" s="233"/>
      <c r="F2" s="233"/>
      <c r="G2" s="233"/>
      <c r="H2" s="233"/>
      <c r="I2" s="233"/>
      <c r="J2" s="233"/>
    </row>
    <row r="3" spans="1:10">
      <c r="A3" s="233"/>
      <c r="B3" s="233"/>
      <c r="C3" s="233"/>
      <c r="D3" s="233"/>
      <c r="E3" s="233"/>
      <c r="F3" s="233"/>
      <c r="G3" s="233"/>
      <c r="H3" s="233"/>
      <c r="I3" s="233"/>
      <c r="J3" s="233"/>
    </row>
    <row r="4" spans="1:10">
      <c r="A4" s="233"/>
      <c r="B4" s="233"/>
      <c r="C4" s="233"/>
      <c r="D4" s="233"/>
      <c r="E4" s="233"/>
      <c r="F4" s="233"/>
      <c r="G4" s="233"/>
      <c r="H4" s="233"/>
      <c r="I4" s="233"/>
      <c r="J4" s="233"/>
    </row>
    <row r="5" spans="1:10">
      <c r="A5" s="233"/>
      <c r="B5" s="233"/>
      <c r="C5" s="233"/>
      <c r="D5" s="233"/>
      <c r="E5" s="233"/>
      <c r="F5" s="233"/>
      <c r="G5" s="233"/>
      <c r="H5" s="233"/>
      <c r="I5" s="233"/>
      <c r="J5" s="233"/>
    </row>
    <row r="6" spans="1:10">
      <c r="A6" s="233"/>
      <c r="B6" s="233"/>
      <c r="C6" s="233"/>
      <c r="D6" s="233"/>
      <c r="E6" s="233"/>
      <c r="F6" s="233"/>
      <c r="G6" s="233"/>
      <c r="H6" s="233"/>
      <c r="I6" s="233"/>
      <c r="J6" s="233"/>
    </row>
    <row r="7" spans="1:10">
      <c r="A7" s="233"/>
      <c r="B7" s="233"/>
      <c r="C7" s="233"/>
      <c r="D7" s="233"/>
      <c r="E7" s="233"/>
      <c r="F7" s="233"/>
      <c r="G7" s="233"/>
      <c r="H7" s="233"/>
      <c r="I7" s="233"/>
      <c r="J7" s="233"/>
    </row>
    <row r="8" spans="1:10">
      <c r="A8" s="233"/>
      <c r="B8" s="233"/>
      <c r="C8" s="233"/>
      <c r="D8" s="233"/>
      <c r="E8" s="233"/>
      <c r="F8" s="233"/>
      <c r="G8" s="233"/>
      <c r="H8" s="233"/>
      <c r="I8" s="233"/>
      <c r="J8" s="233"/>
    </row>
    <row r="9" spans="1:10">
      <c r="A9" s="233"/>
      <c r="B9" s="233"/>
      <c r="C9" s="233"/>
      <c r="D9" s="233"/>
      <c r="E9" s="233"/>
      <c r="F9" s="233"/>
      <c r="G9" s="233"/>
      <c r="H9" s="233"/>
      <c r="I9" s="233"/>
      <c r="J9" s="233"/>
    </row>
    <row r="10" spans="1:10">
      <c r="A10" s="233"/>
      <c r="B10" s="233"/>
      <c r="C10" s="233"/>
      <c r="D10" s="233"/>
      <c r="E10" s="233"/>
      <c r="F10" s="233"/>
      <c r="G10" s="233"/>
      <c r="H10" s="233"/>
      <c r="I10" s="233"/>
      <c r="J10" s="233"/>
    </row>
    <row r="11" spans="1:10">
      <c r="A11" s="233"/>
      <c r="B11" s="233"/>
      <c r="C11" s="233"/>
      <c r="D11" s="233"/>
      <c r="E11" s="233"/>
      <c r="F11" s="233"/>
      <c r="G11" s="233"/>
      <c r="H11" s="233"/>
      <c r="I11" s="233"/>
      <c r="J11" s="233"/>
    </row>
    <row r="12" spans="1:10">
      <c r="A12" s="233"/>
      <c r="B12" s="233"/>
      <c r="C12" s="233"/>
      <c r="D12" s="233"/>
      <c r="E12" s="233"/>
      <c r="F12" s="233"/>
      <c r="G12" s="233"/>
      <c r="H12" s="233"/>
      <c r="I12" s="233"/>
      <c r="J12" s="233"/>
    </row>
    <row r="13" spans="1:10">
      <c r="A13" s="233"/>
      <c r="B13" s="233"/>
      <c r="C13" s="233"/>
      <c r="D13" s="233"/>
      <c r="E13" s="233"/>
      <c r="F13" s="233"/>
      <c r="G13" s="233"/>
      <c r="H13" s="233"/>
      <c r="I13" s="233"/>
      <c r="J13" s="233"/>
    </row>
    <row r="14" spans="1:10">
      <c r="A14" s="233"/>
      <c r="B14" s="233"/>
      <c r="C14" s="233"/>
      <c r="D14" s="233"/>
      <c r="E14" s="233"/>
      <c r="F14" s="233"/>
      <c r="G14" s="233"/>
      <c r="H14" s="233"/>
      <c r="I14" s="233"/>
      <c r="J14" s="233"/>
    </row>
    <row r="15" spans="1:10">
      <c r="A15" s="233"/>
      <c r="B15" s="233"/>
      <c r="C15" s="233"/>
      <c r="D15" s="233"/>
      <c r="E15" s="233"/>
      <c r="F15" s="233"/>
      <c r="G15" s="233"/>
      <c r="H15" s="233"/>
      <c r="I15" s="233"/>
      <c r="J15" s="233"/>
    </row>
    <row r="16" spans="1:10">
      <c r="A16" s="233"/>
      <c r="B16" s="233"/>
      <c r="C16" s="233"/>
      <c r="D16" s="233"/>
      <c r="E16" s="233"/>
      <c r="F16" s="233"/>
      <c r="G16" s="233"/>
      <c r="H16" s="233"/>
      <c r="I16" s="233"/>
      <c r="J16" s="233"/>
    </row>
    <row r="17" spans="1:10">
      <c r="A17" s="233"/>
      <c r="B17" s="233"/>
      <c r="C17" s="233"/>
      <c r="D17" s="233"/>
      <c r="E17" s="233"/>
      <c r="F17" s="233"/>
      <c r="G17" s="233"/>
      <c r="H17" s="233"/>
      <c r="I17" s="233"/>
      <c r="J17" s="233"/>
    </row>
    <row r="18" spans="1:10">
      <c r="A18" s="233"/>
      <c r="B18" s="233"/>
      <c r="C18" s="233"/>
      <c r="D18" s="233"/>
      <c r="E18" s="233"/>
      <c r="F18" s="233"/>
      <c r="G18" s="233"/>
      <c r="H18" s="233"/>
      <c r="I18" s="233"/>
      <c r="J18" s="233"/>
    </row>
    <row r="19" spans="1:10">
      <c r="A19" s="233"/>
      <c r="B19" s="233"/>
      <c r="C19" s="233"/>
      <c r="D19" s="233"/>
      <c r="E19" s="233"/>
      <c r="F19" s="233"/>
      <c r="G19" s="233"/>
      <c r="H19" s="233"/>
      <c r="I19" s="233"/>
      <c r="J19" s="233"/>
    </row>
    <row r="20" spans="1:10">
      <c r="A20" s="233"/>
      <c r="B20" s="233"/>
      <c r="C20" s="233"/>
      <c r="D20" s="233"/>
      <c r="E20" s="233"/>
      <c r="F20" s="233"/>
      <c r="G20" s="233"/>
      <c r="H20" s="233"/>
      <c r="I20" s="233"/>
      <c r="J20" s="233"/>
    </row>
    <row r="21" spans="1:10">
      <c r="A21" s="233"/>
      <c r="B21" s="233"/>
      <c r="C21" s="233"/>
      <c r="D21" s="233"/>
      <c r="E21" s="233"/>
      <c r="F21" s="233"/>
      <c r="G21" s="233"/>
      <c r="H21" s="233"/>
      <c r="I21" s="233"/>
      <c r="J21" s="233"/>
    </row>
    <row r="22" spans="1:10">
      <c r="A22" s="233"/>
      <c r="B22" s="233"/>
      <c r="C22" s="233"/>
      <c r="D22" s="233"/>
      <c r="E22" s="233"/>
      <c r="F22" s="233"/>
      <c r="G22" s="233"/>
      <c r="H22" s="233"/>
      <c r="I22" s="233"/>
      <c r="J22" s="233"/>
    </row>
    <row r="23" spans="1:10">
      <c r="A23" s="233"/>
      <c r="B23" s="233"/>
      <c r="C23" s="233"/>
      <c r="D23" s="233"/>
      <c r="E23" s="233"/>
      <c r="F23" s="233"/>
      <c r="G23" s="233"/>
      <c r="H23" s="233"/>
      <c r="I23" s="233"/>
      <c r="J23" s="233"/>
    </row>
    <row r="24" spans="1:10">
      <c r="A24" s="233"/>
      <c r="B24" s="233"/>
      <c r="C24" s="233"/>
      <c r="D24" s="233"/>
      <c r="E24" s="233"/>
      <c r="F24" s="233"/>
      <c r="G24" s="233"/>
      <c r="H24" s="233"/>
      <c r="I24" s="233"/>
      <c r="J24" s="233"/>
    </row>
    <row r="25" spans="1:10">
      <c r="A25" s="233"/>
      <c r="B25" s="233"/>
      <c r="C25" s="233"/>
      <c r="D25" s="233"/>
      <c r="E25" s="233"/>
      <c r="F25" s="233"/>
      <c r="G25" s="233"/>
      <c r="H25" s="233"/>
      <c r="I25" s="233"/>
      <c r="J25" s="233"/>
    </row>
    <row r="26" spans="1:10">
      <c r="A26" s="233"/>
      <c r="B26" s="233"/>
      <c r="C26" s="233"/>
      <c r="D26" s="233"/>
      <c r="E26" s="233"/>
      <c r="F26" s="233"/>
      <c r="G26" s="233"/>
      <c r="H26" s="233"/>
      <c r="I26" s="233"/>
      <c r="J26" s="233"/>
    </row>
    <row r="27" spans="1:10">
      <c r="A27" s="233"/>
      <c r="B27" s="233"/>
      <c r="C27" s="233"/>
      <c r="D27" s="233"/>
      <c r="E27" s="233"/>
      <c r="F27" s="233"/>
      <c r="G27" s="233"/>
      <c r="H27" s="233"/>
      <c r="I27" s="233"/>
      <c r="J27" s="233"/>
    </row>
    <row r="28" spans="1:10">
      <c r="A28" s="233"/>
      <c r="B28" s="233"/>
      <c r="C28" s="233"/>
      <c r="D28" s="233"/>
      <c r="E28" s="233"/>
      <c r="F28" s="233"/>
      <c r="G28" s="233"/>
      <c r="H28" s="233"/>
      <c r="I28" s="233"/>
      <c r="J28" s="233"/>
    </row>
    <row r="29" spans="1:10">
      <c r="A29" s="2" t="s">
        <v>24</v>
      </c>
    </row>
    <row r="30" spans="1:10" outlineLevel="1">
      <c r="A30" t="s">
        <v>25</v>
      </c>
      <c r="B30">
        <v>3</v>
      </c>
      <c r="C30" t="s">
        <v>3</v>
      </c>
      <c r="D30" t="s">
        <v>2</v>
      </c>
      <c r="E30" s="10">
        <v>2.7</v>
      </c>
      <c r="F30" t="s">
        <v>3</v>
      </c>
    </row>
    <row r="31" spans="1:10" outlineLevel="1">
      <c r="A31" t="s">
        <v>14</v>
      </c>
      <c r="B31" s="39">
        <v>0.75</v>
      </c>
      <c r="C31" t="s">
        <v>3</v>
      </c>
      <c r="D31" t="s">
        <v>26</v>
      </c>
      <c r="E31" s="10">
        <v>2.7</v>
      </c>
      <c r="F31" t="s">
        <v>3</v>
      </c>
    </row>
    <row r="32" spans="1:10" outlineLevel="1">
      <c r="A32" t="s">
        <v>11</v>
      </c>
      <c r="B32">
        <v>300</v>
      </c>
      <c r="C32" t="s">
        <v>12</v>
      </c>
      <c r="D32" s="3" t="s">
        <v>6</v>
      </c>
      <c r="E32">
        <v>22</v>
      </c>
      <c r="F32" t="s">
        <v>7</v>
      </c>
    </row>
    <row r="33" spans="1:9" outlineLevel="1">
      <c r="A33" t="s">
        <v>27</v>
      </c>
      <c r="B33">
        <v>25</v>
      </c>
      <c r="C33" t="s">
        <v>3</v>
      </c>
      <c r="D33" t="s">
        <v>28</v>
      </c>
      <c r="E33">
        <v>36.5</v>
      </c>
      <c r="F33" t="s">
        <v>29</v>
      </c>
    </row>
    <row r="34" spans="1:9" outlineLevel="1">
      <c r="A34" s="3" t="s">
        <v>15</v>
      </c>
      <c r="B34">
        <v>0.3</v>
      </c>
      <c r="D34" t="s">
        <v>30</v>
      </c>
      <c r="E34">
        <v>50</v>
      </c>
      <c r="F34" t="s">
        <v>31</v>
      </c>
    </row>
    <row r="36" spans="1:9">
      <c r="A36" s="2" t="s">
        <v>32</v>
      </c>
    </row>
    <row r="37" spans="1:9" outlineLevel="1">
      <c r="A37" t="s">
        <v>33</v>
      </c>
      <c r="B37" s="10">
        <f>2*E30*(1+LOG(E31/E30,10))</f>
        <v>5.4</v>
      </c>
      <c r="C37" t="s">
        <v>3</v>
      </c>
      <c r="E37" t="s">
        <v>34</v>
      </c>
    </row>
    <row r="38" spans="1:9" outlineLevel="1">
      <c r="A38" s="4" t="s">
        <v>35</v>
      </c>
      <c r="B38">
        <f>+E32*B31</f>
        <v>16.5</v>
      </c>
      <c r="C38" t="s">
        <v>12</v>
      </c>
      <c r="E38" s="11" t="s">
        <v>36</v>
      </c>
      <c r="F38" s="12">
        <v>0.75</v>
      </c>
      <c r="G38" s="16">
        <v>1</v>
      </c>
      <c r="H38" s="16">
        <v>2</v>
      </c>
      <c r="I38" s="17">
        <v>3</v>
      </c>
    </row>
    <row r="39" spans="1:9" outlineLevel="1">
      <c r="A39" t="s">
        <v>37</v>
      </c>
      <c r="B39" s="5">
        <f>1-(0.5*B38/(B32-B38))</f>
        <v>0.97089947089947093</v>
      </c>
      <c r="E39" s="13" t="s">
        <v>38</v>
      </c>
      <c r="F39" s="14">
        <v>6.3</v>
      </c>
      <c r="G39" s="14">
        <v>5.9</v>
      </c>
      <c r="H39" s="14">
        <v>4.5999999999999996</v>
      </c>
      <c r="I39" s="15">
        <v>3.6</v>
      </c>
    </row>
    <row r="40" spans="1:9" outlineLevel="1">
      <c r="A40" t="s">
        <v>39</v>
      </c>
      <c r="B40" s="5">
        <f>1+0.2*LOG(E33/36.5,10)</f>
        <v>1</v>
      </c>
    </row>
    <row r="41" spans="1:9" outlineLevel="1">
      <c r="A41" t="s">
        <v>40</v>
      </c>
      <c r="B41" s="5">
        <f>1.03-0.03*(E31/E30)</f>
        <v>1</v>
      </c>
    </row>
    <row r="42" spans="1:9" ht="16" outlineLevel="1" thickBot="1"/>
    <row r="43" spans="1:9" ht="16" outlineLevel="1" thickBot="1">
      <c r="E43" s="38">
        <f>+MAX(E46:E100)</f>
        <v>6.3333701731881753</v>
      </c>
    </row>
    <row r="44" spans="1:9" outlineLevel="1">
      <c r="A44" s="19" t="s">
        <v>14</v>
      </c>
      <c r="B44" s="20" t="s">
        <v>41</v>
      </c>
      <c r="C44" s="20" t="s">
        <v>16</v>
      </c>
      <c r="D44" s="21" t="s">
        <v>42</v>
      </c>
      <c r="E44" s="22" t="s">
        <v>43</v>
      </c>
      <c r="F44" s="6"/>
      <c r="G44" s="6"/>
    </row>
    <row r="45" spans="1:9" ht="16" outlineLevel="1" thickBot="1">
      <c r="A45" s="23" t="s">
        <v>44</v>
      </c>
      <c r="B45" s="24" t="s">
        <v>45</v>
      </c>
      <c r="C45" s="24" t="s">
        <v>46</v>
      </c>
      <c r="D45" s="24" t="s">
        <v>47</v>
      </c>
      <c r="E45" s="25" t="s">
        <v>47</v>
      </c>
      <c r="F45" s="6"/>
      <c r="G45" s="6"/>
    </row>
    <row r="46" spans="1:9" outlineLevel="1">
      <c r="A46" s="37">
        <v>0</v>
      </c>
      <c r="B46" s="6">
        <f>+$E$34+10*($B$31+A46)</f>
        <v>57.5</v>
      </c>
      <c r="C46" s="8">
        <f>IF(A46&lt;$E$30/2,0.2*(1+4*A46/$E$30),0.6*(1-(A46-$E$30/2)/($B$37-$E$30/2)))</f>
        <v>0.2</v>
      </c>
      <c r="D46" s="9">
        <f>+$B$39*$B$40*$B$41*($B$32-$B$38)*C46/B46*$A$47</f>
        <v>9.5739130434782618E-2</v>
      </c>
      <c r="E46" s="8">
        <f>+D46</f>
        <v>9.5739130434782618E-2</v>
      </c>
      <c r="F46" s="6"/>
      <c r="G46" s="6"/>
    </row>
    <row r="47" spans="1:9" outlineLevel="1">
      <c r="A47" s="6">
        <f>+A46+0.1</f>
        <v>0.1</v>
      </c>
      <c r="B47" s="6">
        <f t="shared" ref="B47:B100" si="0">+$E$34+10*($B$31+A47)</f>
        <v>58.5</v>
      </c>
      <c r="C47" s="8">
        <f t="shared" ref="C47:C98" si="1">IF(A47&lt;$E$30/2,0.2*(1+4*A47/$E$30),0.6*(1-(A47-$E$30/2)/($B$37-$E$30/2)))</f>
        <v>0.22962962962962963</v>
      </c>
      <c r="D47" s="9">
        <f t="shared" ref="D47:D98" si="2">+$B$39*$B$40*$B$41*($B$32-$B$38)*C47/B47*$A$47</f>
        <v>0.10804368471035138</v>
      </c>
      <c r="E47" s="8">
        <f>+D47+E46</f>
        <v>0.20378281514513399</v>
      </c>
      <c r="F47" s="6"/>
      <c r="G47" s="6"/>
    </row>
    <row r="48" spans="1:9" outlineLevel="1">
      <c r="A48" s="6">
        <f t="shared" ref="A48:A98" si="3">+A47+0.1</f>
        <v>0.2</v>
      </c>
      <c r="B48" s="6">
        <f t="shared" si="0"/>
        <v>59.5</v>
      </c>
      <c r="C48" s="8">
        <f>IF(A48&lt;$E$30/2,0.2*(1+4*A48/$E$30),0.6*(1-(A48-$E$30/2)/($B$37-$E$30/2)))</f>
        <v>0.25925925925925924</v>
      </c>
      <c r="D48" s="9">
        <f t="shared" si="2"/>
        <v>0.11993464052287579</v>
      </c>
      <c r="E48" s="8">
        <f t="shared" ref="E48:E98" si="4">+D48+E47</f>
        <v>0.3237174556680098</v>
      </c>
      <c r="F48" s="6"/>
      <c r="G48" s="6"/>
    </row>
    <row r="49" spans="1:7" outlineLevel="1">
      <c r="A49" s="6">
        <f t="shared" si="3"/>
        <v>0.30000000000000004</v>
      </c>
      <c r="B49" s="6">
        <f t="shared" si="0"/>
        <v>60.5</v>
      </c>
      <c r="C49" s="8">
        <f>IF(A49&lt;$E$30/2,0.2*(1+4*A49/$E$30),0.6*(1-(A49-$E$30/2)/($B$37-$E$30/2)))</f>
        <v>0.28888888888888892</v>
      </c>
      <c r="D49" s="9">
        <f>+$B$39*$B$40*$B$41*($B$32-$B$38)*C49/B49*$A$47</f>
        <v>0.13143250688705238</v>
      </c>
      <c r="E49" s="8">
        <f t="shared" si="4"/>
        <v>0.45514996255506218</v>
      </c>
      <c r="F49" s="6"/>
      <c r="G49" s="6"/>
    </row>
    <row r="50" spans="1:7" outlineLevel="1">
      <c r="A50" s="6">
        <f t="shared" si="3"/>
        <v>0.4</v>
      </c>
      <c r="B50" s="6">
        <f t="shared" si="0"/>
        <v>61.5</v>
      </c>
      <c r="C50" s="8">
        <f t="shared" si="1"/>
        <v>0.31851851851851853</v>
      </c>
      <c r="D50" s="9">
        <f>+$B$39*$B$40*$B$41*($B$32-$B$38)*C50/B50*$A$47</f>
        <v>0.14255645889792232</v>
      </c>
      <c r="E50" s="8">
        <f t="shared" si="4"/>
        <v>0.59770642145298447</v>
      </c>
      <c r="F50" s="6"/>
      <c r="G50" s="6"/>
    </row>
    <row r="51" spans="1:7" outlineLevel="1">
      <c r="A51" s="6">
        <f t="shared" si="3"/>
        <v>0.5</v>
      </c>
      <c r="B51" s="6">
        <f t="shared" si="0"/>
        <v>62.5</v>
      </c>
      <c r="C51" s="8">
        <f t="shared" si="1"/>
        <v>0.34814814814814815</v>
      </c>
      <c r="D51" s="9">
        <f>+$B$39*$B$40*$B$41*($B$32-$B$38)*C51/B51*$A$47</f>
        <v>0.15332444444444449</v>
      </c>
      <c r="E51" s="8">
        <f t="shared" si="4"/>
        <v>0.75103086589742896</v>
      </c>
      <c r="F51" s="6"/>
      <c r="G51" s="6"/>
    </row>
    <row r="52" spans="1:7" outlineLevel="1">
      <c r="A52" s="6">
        <f t="shared" si="3"/>
        <v>0.6</v>
      </c>
      <c r="B52" s="6">
        <f t="shared" si="0"/>
        <v>63.5</v>
      </c>
      <c r="C52" s="8">
        <f t="shared" si="1"/>
        <v>0.37777777777777777</v>
      </c>
      <c r="D52" s="9">
        <f t="shared" si="2"/>
        <v>0.16375328083989504</v>
      </c>
      <c r="E52" s="8">
        <f>+D52+E51</f>
        <v>0.914784146737324</v>
      </c>
      <c r="F52" s="6"/>
      <c r="G52" s="6"/>
    </row>
    <row r="53" spans="1:7" outlineLevel="1">
      <c r="A53" s="6">
        <f t="shared" si="3"/>
        <v>0.7</v>
      </c>
      <c r="B53" s="6">
        <f t="shared" si="0"/>
        <v>64.5</v>
      </c>
      <c r="C53" s="8">
        <f t="shared" si="1"/>
        <v>0.40740740740740744</v>
      </c>
      <c r="D53" s="9">
        <f t="shared" si="2"/>
        <v>0.17385874246339364</v>
      </c>
      <c r="E53" s="8">
        <f t="shared" si="4"/>
        <v>1.0886428892007176</v>
      </c>
      <c r="F53" s="6"/>
      <c r="G53" s="6"/>
    </row>
    <row r="54" spans="1:7" outlineLevel="1">
      <c r="A54" s="6">
        <f t="shared" si="3"/>
        <v>0.79999999999999993</v>
      </c>
      <c r="B54" s="6">
        <f t="shared" si="0"/>
        <v>65.5</v>
      </c>
      <c r="C54" s="8">
        <f t="shared" si="1"/>
        <v>0.43703703703703706</v>
      </c>
      <c r="D54" s="9">
        <f t="shared" si="2"/>
        <v>0.18365564037319765</v>
      </c>
      <c r="E54" s="8">
        <f t="shared" si="4"/>
        <v>1.2722985295739153</v>
      </c>
      <c r="F54" s="6"/>
      <c r="G54" s="6"/>
    </row>
    <row r="55" spans="1:7" outlineLevel="1">
      <c r="A55" s="6">
        <f t="shared" si="3"/>
        <v>0.89999999999999991</v>
      </c>
      <c r="B55" s="6">
        <f t="shared" si="0"/>
        <v>66.5</v>
      </c>
      <c r="C55" s="8">
        <f t="shared" si="1"/>
        <v>0.46666666666666662</v>
      </c>
      <c r="D55" s="9">
        <f t="shared" si="2"/>
        <v>0.19315789473684208</v>
      </c>
      <c r="E55" s="8">
        <f t="shared" si="4"/>
        <v>1.4654564243107573</v>
      </c>
      <c r="F55" s="6"/>
      <c r="G55" s="6"/>
    </row>
    <row r="56" spans="1:7" outlineLevel="1">
      <c r="A56" s="6">
        <f t="shared" si="3"/>
        <v>0.99999999999999989</v>
      </c>
      <c r="B56" s="6">
        <f t="shared" si="0"/>
        <v>67.5</v>
      </c>
      <c r="C56" s="8">
        <f t="shared" si="1"/>
        <v>0.49629629629629624</v>
      </c>
      <c r="D56" s="9">
        <f t="shared" si="2"/>
        <v>0.20237860082304523</v>
      </c>
      <c r="E56" s="8">
        <f t="shared" si="4"/>
        <v>1.6678350251338026</v>
      </c>
      <c r="F56" s="6"/>
      <c r="G56" s="6"/>
    </row>
    <row r="57" spans="1:7" outlineLevel="1">
      <c r="A57" s="6">
        <f t="shared" si="3"/>
        <v>1.0999999999999999</v>
      </c>
      <c r="B57" s="6">
        <f t="shared" si="0"/>
        <v>68.5</v>
      </c>
      <c r="C57" s="8">
        <f t="shared" si="1"/>
        <v>0.52592592592592591</v>
      </c>
      <c r="D57" s="9">
        <f t="shared" si="2"/>
        <v>0.2113300892133009</v>
      </c>
      <c r="E57" s="8">
        <f t="shared" si="4"/>
        <v>1.8791651143471035</v>
      </c>
      <c r="F57" s="6"/>
      <c r="G57" s="6"/>
    </row>
    <row r="58" spans="1:7" outlineLevel="1">
      <c r="A58" s="6">
        <f t="shared" si="3"/>
        <v>1.2</v>
      </c>
      <c r="B58" s="6">
        <f t="shared" si="0"/>
        <v>69.5</v>
      </c>
      <c r="C58" s="8">
        <f t="shared" si="1"/>
        <v>0.55555555555555558</v>
      </c>
      <c r="D58" s="9">
        <f t="shared" si="2"/>
        <v>0.22002398081534774</v>
      </c>
      <c r="E58" s="8">
        <f t="shared" si="4"/>
        <v>2.0991890951624512</v>
      </c>
      <c r="F58" s="6"/>
      <c r="G58" s="6"/>
    </row>
    <row r="59" spans="1:7" outlineLevel="1">
      <c r="A59" s="6">
        <f t="shared" si="3"/>
        <v>1.3</v>
      </c>
      <c r="B59" s="6">
        <f t="shared" si="0"/>
        <v>70.5</v>
      </c>
      <c r="C59" s="8">
        <f t="shared" si="1"/>
        <v>0.58518518518518514</v>
      </c>
      <c r="D59" s="9">
        <f t="shared" si="2"/>
        <v>0.22847123719464146</v>
      </c>
      <c r="E59" s="8">
        <f t="shared" si="4"/>
        <v>2.3276603323570928</v>
      </c>
      <c r="F59" s="6"/>
      <c r="G59" s="6"/>
    </row>
    <row r="60" spans="1:7" outlineLevel="1">
      <c r="A60" s="6">
        <f t="shared" si="3"/>
        <v>1.4000000000000001</v>
      </c>
      <c r="B60" s="6">
        <f t="shared" si="0"/>
        <v>71.5</v>
      </c>
      <c r="C60" s="8">
        <f t="shared" si="1"/>
        <v>0.59259259259259256</v>
      </c>
      <c r="D60" s="9">
        <f t="shared" si="2"/>
        <v>0.22812742812742814</v>
      </c>
      <c r="E60" s="8">
        <f t="shared" si="4"/>
        <v>2.5557877604845212</v>
      </c>
      <c r="F60" s="6"/>
      <c r="G60" s="6"/>
    </row>
    <row r="61" spans="1:7" outlineLevel="1">
      <c r="A61" s="6">
        <f t="shared" si="3"/>
        <v>1.5000000000000002</v>
      </c>
      <c r="B61" s="6">
        <f t="shared" si="0"/>
        <v>72.5</v>
      </c>
      <c r="C61" s="8">
        <f t="shared" si="1"/>
        <v>0.57777777777777772</v>
      </c>
      <c r="D61" s="9">
        <f t="shared" si="2"/>
        <v>0.21935632183908049</v>
      </c>
      <c r="E61" s="8">
        <f t="shared" si="4"/>
        <v>2.7751440823236018</v>
      </c>
      <c r="F61" s="6"/>
      <c r="G61" s="6"/>
    </row>
    <row r="62" spans="1:7" outlineLevel="1">
      <c r="A62" s="6">
        <f t="shared" si="3"/>
        <v>1.6000000000000003</v>
      </c>
      <c r="B62" s="6">
        <f t="shared" si="0"/>
        <v>73.5</v>
      </c>
      <c r="C62" s="8">
        <f t="shared" si="1"/>
        <v>0.56296296296296289</v>
      </c>
      <c r="D62" s="9">
        <f t="shared" si="2"/>
        <v>0.21082388510959937</v>
      </c>
      <c r="E62" s="8">
        <f t="shared" si="4"/>
        <v>2.9859679674332011</v>
      </c>
      <c r="F62" s="6"/>
      <c r="G62" s="6"/>
    </row>
    <row r="63" spans="1:7" outlineLevel="1">
      <c r="A63" s="6">
        <f t="shared" si="3"/>
        <v>1.7000000000000004</v>
      </c>
      <c r="B63" s="6">
        <f t="shared" si="0"/>
        <v>74.5</v>
      </c>
      <c r="C63" s="8">
        <f t="shared" si="1"/>
        <v>0.54814814814814805</v>
      </c>
      <c r="D63" s="9">
        <f t="shared" si="2"/>
        <v>0.20252050708426542</v>
      </c>
      <c r="E63" s="8">
        <f t="shared" si="4"/>
        <v>3.1884884745174666</v>
      </c>
      <c r="F63" s="6"/>
      <c r="G63" s="6"/>
    </row>
    <row r="64" spans="1:7" outlineLevel="1">
      <c r="A64" s="6">
        <f t="shared" si="3"/>
        <v>1.8000000000000005</v>
      </c>
      <c r="B64" s="6">
        <f t="shared" si="0"/>
        <v>75.5</v>
      </c>
      <c r="C64" s="8">
        <f t="shared" si="1"/>
        <v>0.53333333333333333</v>
      </c>
      <c r="D64" s="9">
        <f t="shared" si="2"/>
        <v>0.19443708609271526</v>
      </c>
      <c r="E64" s="8">
        <f t="shared" si="4"/>
        <v>3.382925560610182</v>
      </c>
      <c r="F64" s="6"/>
      <c r="G64" s="6"/>
    </row>
    <row r="65" spans="1:7" outlineLevel="1">
      <c r="A65" s="6">
        <f t="shared" si="3"/>
        <v>1.9000000000000006</v>
      </c>
      <c r="B65" s="6">
        <f t="shared" si="0"/>
        <v>76.5</v>
      </c>
      <c r="C65" s="8">
        <f t="shared" si="1"/>
        <v>0.51851851851851838</v>
      </c>
      <c r="D65" s="9">
        <f t="shared" si="2"/>
        <v>0.18656499636891788</v>
      </c>
      <c r="E65" s="8">
        <f t="shared" si="4"/>
        <v>3.5694905569790998</v>
      </c>
      <c r="F65" s="6"/>
      <c r="G65" s="6"/>
    </row>
    <row r="66" spans="1:7" outlineLevel="1">
      <c r="A66" s="6">
        <f t="shared" si="3"/>
        <v>2.0000000000000004</v>
      </c>
      <c r="B66" s="6">
        <f t="shared" si="0"/>
        <v>77.5</v>
      </c>
      <c r="C66" s="8">
        <f t="shared" si="1"/>
        <v>0.50370370370370365</v>
      </c>
      <c r="D66" s="9">
        <f t="shared" si="2"/>
        <v>0.17889605734767022</v>
      </c>
      <c r="E66" s="8">
        <f t="shared" si="4"/>
        <v>3.7483866143267699</v>
      </c>
      <c r="F66" s="6"/>
      <c r="G66" s="6"/>
    </row>
    <row r="67" spans="1:7" outlineLevel="1">
      <c r="A67" s="6">
        <f t="shared" si="3"/>
        <v>2.1000000000000005</v>
      </c>
      <c r="B67" s="6">
        <f t="shared" si="0"/>
        <v>78.5</v>
      </c>
      <c r="C67" s="8">
        <f t="shared" si="1"/>
        <v>0.48888888888888882</v>
      </c>
      <c r="D67" s="9">
        <f t="shared" si="2"/>
        <v>0.1714225053078556</v>
      </c>
      <c r="E67" s="8">
        <f t="shared" si="4"/>
        <v>3.9198091196346256</v>
      </c>
      <c r="F67" s="6"/>
      <c r="G67" s="6"/>
    </row>
    <row r="68" spans="1:7" outlineLevel="1">
      <c r="A68" s="6">
        <f t="shared" si="3"/>
        <v>2.2000000000000006</v>
      </c>
      <c r="B68" s="6">
        <f t="shared" si="0"/>
        <v>79.5</v>
      </c>
      <c r="C68" s="8">
        <f t="shared" si="1"/>
        <v>0.47407407407407404</v>
      </c>
      <c r="D68" s="9">
        <f t="shared" si="2"/>
        <v>0.16413696715583509</v>
      </c>
      <c r="E68" s="8">
        <f t="shared" si="4"/>
        <v>4.0839460867904611</v>
      </c>
      <c r="F68" s="6"/>
      <c r="G68" s="6"/>
    </row>
    <row r="69" spans="1:7" outlineLevel="1">
      <c r="A69" s="6">
        <f t="shared" si="3"/>
        <v>2.3000000000000007</v>
      </c>
      <c r="B69" s="6">
        <f t="shared" si="0"/>
        <v>80.5</v>
      </c>
      <c r="C69" s="8">
        <f t="shared" si="1"/>
        <v>0.45925925925925914</v>
      </c>
      <c r="D69" s="9">
        <f t="shared" si="2"/>
        <v>0.15703243616287091</v>
      </c>
      <c r="E69" s="8">
        <f t="shared" si="4"/>
        <v>4.2409785229533323</v>
      </c>
      <c r="F69" s="6"/>
      <c r="G69" s="6"/>
    </row>
    <row r="70" spans="1:7" outlineLevel="1">
      <c r="A70" s="6">
        <f t="shared" si="3"/>
        <v>2.4000000000000008</v>
      </c>
      <c r="B70" s="6">
        <f t="shared" si="0"/>
        <v>81.5</v>
      </c>
      <c r="C70" s="8">
        <f t="shared" si="1"/>
        <v>0.44444444444444436</v>
      </c>
      <c r="D70" s="9">
        <f t="shared" si="2"/>
        <v>0.15010224948875253</v>
      </c>
      <c r="E70" s="8">
        <f t="shared" si="4"/>
        <v>4.3910807724420851</v>
      </c>
      <c r="F70" s="6"/>
      <c r="G70" s="6"/>
    </row>
    <row r="71" spans="1:7" outlineLevel="1">
      <c r="A71" s="6">
        <f t="shared" si="3"/>
        <v>2.5000000000000009</v>
      </c>
      <c r="B71" s="6">
        <f t="shared" si="0"/>
        <v>82.5</v>
      </c>
      <c r="C71" s="8">
        <f t="shared" si="1"/>
        <v>0.42962962962962953</v>
      </c>
      <c r="D71" s="9">
        <f t="shared" si="2"/>
        <v>0.1433400673400673</v>
      </c>
      <c r="E71" s="8">
        <f t="shared" si="4"/>
        <v>4.5344208397821522</v>
      </c>
      <c r="F71" s="6"/>
      <c r="G71" s="6"/>
    </row>
    <row r="72" spans="1:7" outlineLevel="1">
      <c r="A72" s="6">
        <f t="shared" si="3"/>
        <v>2.600000000000001</v>
      </c>
      <c r="B72" s="6">
        <f t="shared" si="0"/>
        <v>83.5</v>
      </c>
      <c r="C72" s="8">
        <f t="shared" si="1"/>
        <v>0.41481481481481469</v>
      </c>
      <c r="D72" s="9">
        <f t="shared" si="2"/>
        <v>0.13673985362608115</v>
      </c>
      <c r="E72" s="8">
        <f t="shared" si="4"/>
        <v>4.6711606934082335</v>
      </c>
      <c r="F72" s="6"/>
      <c r="G72" s="6"/>
    </row>
    <row r="73" spans="1:7" outlineLevel="1">
      <c r="A73" s="6">
        <f t="shared" si="3"/>
        <v>2.7000000000000011</v>
      </c>
      <c r="B73" s="6">
        <f t="shared" si="0"/>
        <v>84.500000000000014</v>
      </c>
      <c r="C73" s="8">
        <f t="shared" si="1"/>
        <v>0.39999999999999991</v>
      </c>
      <c r="D73" s="9">
        <f t="shared" si="2"/>
        <v>0.13029585798816565</v>
      </c>
      <c r="E73" s="8">
        <f t="shared" si="4"/>
        <v>4.8014565513963987</v>
      </c>
      <c r="F73" s="6"/>
      <c r="G73" s="6"/>
    </row>
    <row r="74" spans="1:7" outlineLevel="1">
      <c r="A74" s="6">
        <f t="shared" si="3"/>
        <v>2.8000000000000012</v>
      </c>
      <c r="B74" s="6">
        <f t="shared" si="0"/>
        <v>85.500000000000014</v>
      </c>
      <c r="C74" s="8">
        <f t="shared" si="1"/>
        <v>0.38518518518518502</v>
      </c>
      <c r="D74" s="9">
        <f t="shared" si="2"/>
        <v>0.12400259909031833</v>
      </c>
      <c r="E74" s="8">
        <f t="shared" si="4"/>
        <v>4.9254591504867173</v>
      </c>
      <c r="F74" s="6"/>
      <c r="G74" s="6"/>
    </row>
    <row r="75" spans="1:7" outlineLevel="1">
      <c r="A75" s="6">
        <f t="shared" si="3"/>
        <v>2.9000000000000012</v>
      </c>
      <c r="B75" s="6">
        <f t="shared" si="0"/>
        <v>86.500000000000014</v>
      </c>
      <c r="C75" s="8">
        <f t="shared" si="1"/>
        <v>0.37037037037037029</v>
      </c>
      <c r="D75" s="9">
        <f t="shared" si="2"/>
        <v>0.11785484906872186</v>
      </c>
      <c r="E75" s="8">
        <f t="shared" si="4"/>
        <v>5.0433139995554388</v>
      </c>
      <c r="F75" s="6"/>
      <c r="G75" s="6"/>
    </row>
    <row r="76" spans="1:7" outlineLevel="1">
      <c r="A76" s="6">
        <f t="shared" si="3"/>
        <v>3.0000000000000013</v>
      </c>
      <c r="B76" s="6">
        <f t="shared" si="0"/>
        <v>87.500000000000014</v>
      </c>
      <c r="C76" s="8">
        <f t="shared" si="1"/>
        <v>0.3555555555555554</v>
      </c>
      <c r="D76" s="9">
        <f t="shared" si="2"/>
        <v>0.111847619047619</v>
      </c>
      <c r="E76" s="8">
        <f t="shared" si="4"/>
        <v>5.1551616186030582</v>
      </c>
    </row>
    <row r="77" spans="1:7" outlineLevel="1">
      <c r="A77" s="6">
        <f t="shared" si="3"/>
        <v>3.1000000000000014</v>
      </c>
      <c r="B77" s="6">
        <f t="shared" si="0"/>
        <v>88.500000000000014</v>
      </c>
      <c r="C77" s="8">
        <f t="shared" si="1"/>
        <v>0.34074074074074057</v>
      </c>
      <c r="D77" s="9">
        <f t="shared" si="2"/>
        <v>0.10597614563716251</v>
      </c>
      <c r="E77" s="8">
        <f t="shared" si="4"/>
        <v>5.2611377642402211</v>
      </c>
    </row>
    <row r="78" spans="1:7" outlineLevel="1">
      <c r="A78" s="6">
        <f t="shared" si="3"/>
        <v>3.2000000000000015</v>
      </c>
      <c r="B78" s="6">
        <f t="shared" si="0"/>
        <v>89.500000000000014</v>
      </c>
      <c r="C78" s="8">
        <f t="shared" si="1"/>
        <v>0.32592592592592579</v>
      </c>
      <c r="D78" s="9">
        <f t="shared" si="2"/>
        <v>0.10023587833643693</v>
      </c>
      <c r="E78" s="8">
        <f t="shared" si="4"/>
        <v>5.361373642576658</v>
      </c>
    </row>
    <row r="79" spans="1:7" outlineLevel="1">
      <c r="A79" s="6">
        <f t="shared" si="3"/>
        <v>3.3000000000000016</v>
      </c>
      <c r="B79" s="6">
        <f t="shared" si="0"/>
        <v>90.500000000000014</v>
      </c>
      <c r="C79" s="8">
        <f t="shared" si="1"/>
        <v>0.31111111111111089</v>
      </c>
      <c r="D79" s="9">
        <f t="shared" si="2"/>
        <v>9.4622467771638963E-2</v>
      </c>
      <c r="E79" s="8">
        <f t="shared" si="4"/>
        <v>5.4559961103482966</v>
      </c>
    </row>
    <row r="80" spans="1:7" outlineLevel="1">
      <c r="A80" s="6">
        <f t="shared" si="3"/>
        <v>3.4000000000000017</v>
      </c>
      <c r="B80" s="6">
        <f t="shared" si="0"/>
        <v>91.500000000000028</v>
      </c>
      <c r="C80" s="8">
        <f t="shared" si="1"/>
        <v>0.29629629629629606</v>
      </c>
      <c r="D80" s="9">
        <f t="shared" si="2"/>
        <v>8.913175470552509E-2</v>
      </c>
      <c r="E80" s="8">
        <f t="shared" si="4"/>
        <v>5.5451278650538214</v>
      </c>
    </row>
    <row r="81" spans="1:5" outlineLevel="1">
      <c r="A81" s="6">
        <f t="shared" si="3"/>
        <v>3.5000000000000018</v>
      </c>
      <c r="B81" s="6">
        <f t="shared" si="0"/>
        <v>92.500000000000014</v>
      </c>
      <c r="C81" s="8">
        <f t="shared" si="1"/>
        <v>0.28148148148148128</v>
      </c>
      <c r="D81" s="9">
        <f t="shared" si="2"/>
        <v>8.3759759759759689E-2</v>
      </c>
      <c r="E81" s="8">
        <f t="shared" si="4"/>
        <v>5.6288876248135811</v>
      </c>
    </row>
    <row r="82" spans="1:5" outlineLevel="1">
      <c r="A82" s="6">
        <f t="shared" si="3"/>
        <v>3.6000000000000019</v>
      </c>
      <c r="B82" s="6">
        <f t="shared" si="0"/>
        <v>93.500000000000014</v>
      </c>
      <c r="C82" s="8">
        <f t="shared" si="1"/>
        <v>0.26666666666666644</v>
      </c>
      <c r="D82" s="9">
        <f t="shared" si="2"/>
        <v>7.8502673796791378E-2</v>
      </c>
      <c r="E82" s="8">
        <f t="shared" si="4"/>
        <v>5.7073902986103722</v>
      </c>
    </row>
    <row r="83" spans="1:5" outlineLevel="1">
      <c r="A83" s="6">
        <f t="shared" si="3"/>
        <v>3.700000000000002</v>
      </c>
      <c r="B83" s="6">
        <f t="shared" si="0"/>
        <v>94.500000000000028</v>
      </c>
      <c r="C83" s="8">
        <f t="shared" si="1"/>
        <v>0.2518518518518516</v>
      </c>
      <c r="D83" s="9">
        <f t="shared" si="2"/>
        <v>7.3356848912404377E-2</v>
      </c>
      <c r="E83" s="8">
        <f t="shared" si="4"/>
        <v>5.780747147522777</v>
      </c>
    </row>
    <row r="84" spans="1:5" outlineLevel="1">
      <c r="A84" s="6">
        <f t="shared" si="3"/>
        <v>3.800000000000002</v>
      </c>
      <c r="B84" s="6">
        <f t="shared" si="0"/>
        <v>95.500000000000028</v>
      </c>
      <c r="C84" s="8">
        <f t="shared" si="1"/>
        <v>0.23703703703703682</v>
      </c>
      <c r="D84" s="9">
        <f t="shared" si="2"/>
        <v>6.8318789994182588E-2</v>
      </c>
      <c r="E84" s="8">
        <f t="shared" si="4"/>
        <v>5.8490659375169596</v>
      </c>
    </row>
    <row r="85" spans="1:5" outlineLevel="1">
      <c r="A85" s="6">
        <f t="shared" si="3"/>
        <v>3.9000000000000021</v>
      </c>
      <c r="B85" s="6">
        <f t="shared" si="0"/>
        <v>96.500000000000028</v>
      </c>
      <c r="C85" s="8">
        <f t="shared" si="1"/>
        <v>0.22222222222222202</v>
      </c>
      <c r="D85" s="9">
        <f t="shared" si="2"/>
        <v>6.3385146804835854E-2</v>
      </c>
      <c r="E85" s="8">
        <f t="shared" si="4"/>
        <v>5.9124510843217957</v>
      </c>
    </row>
    <row r="86" spans="1:5" outlineLevel="1">
      <c r="A86" s="6">
        <f t="shared" si="3"/>
        <v>4.0000000000000018</v>
      </c>
      <c r="B86" s="6">
        <f t="shared" si="0"/>
        <v>97.500000000000014</v>
      </c>
      <c r="C86" s="8">
        <f t="shared" si="1"/>
        <v>0.20740740740740718</v>
      </c>
      <c r="D86" s="9">
        <f t="shared" si="2"/>
        <v>5.8552706552706481E-2</v>
      </c>
      <c r="E86" s="8">
        <f t="shared" si="4"/>
        <v>5.9710037908745024</v>
      </c>
    </row>
    <row r="87" spans="1:5" outlineLevel="1">
      <c r="A87" s="6">
        <f t="shared" si="3"/>
        <v>4.1000000000000014</v>
      </c>
      <c r="B87" s="6">
        <f t="shared" si="0"/>
        <v>98.500000000000014</v>
      </c>
      <c r="C87" s="8">
        <f t="shared" si="1"/>
        <v>0.19259259259259245</v>
      </c>
      <c r="D87" s="9">
        <f t="shared" si="2"/>
        <v>5.3818386914833573E-2</v>
      </c>
      <c r="E87" s="8">
        <f t="shared" si="4"/>
        <v>6.0248221777893356</v>
      </c>
    </row>
    <row r="88" spans="1:5" outlineLevel="1">
      <c r="A88" s="6">
        <f t="shared" si="3"/>
        <v>4.2000000000000011</v>
      </c>
      <c r="B88" s="6">
        <f t="shared" si="0"/>
        <v>99.500000000000014</v>
      </c>
      <c r="C88" s="8">
        <f t="shared" si="1"/>
        <v>0.1777777777777777</v>
      </c>
      <c r="D88" s="9">
        <f t="shared" si="2"/>
        <v>4.9179229480736997E-2</v>
      </c>
      <c r="E88" s="8">
        <f t="shared" si="4"/>
        <v>6.0740014072700728</v>
      </c>
    </row>
    <row r="89" spans="1:5" outlineLevel="1">
      <c r="A89" s="6">
        <f t="shared" si="3"/>
        <v>4.3000000000000007</v>
      </c>
      <c r="B89" s="6">
        <f t="shared" si="0"/>
        <v>100.5</v>
      </c>
      <c r="C89" s="8">
        <f t="shared" si="1"/>
        <v>0.16296296296296295</v>
      </c>
      <c r="D89" s="9">
        <f t="shared" si="2"/>
        <v>4.4632393587617475E-2</v>
      </c>
      <c r="E89" s="8">
        <f t="shared" si="4"/>
        <v>6.1186338008576904</v>
      </c>
    </row>
    <row r="90" spans="1:5" outlineLevel="1">
      <c r="A90" s="6">
        <f t="shared" si="3"/>
        <v>4.4000000000000004</v>
      </c>
      <c r="B90" s="6">
        <f t="shared" si="0"/>
        <v>101.5</v>
      </c>
      <c r="C90" s="8">
        <f t="shared" si="1"/>
        <v>0.1481481481481482</v>
      </c>
      <c r="D90" s="9">
        <f t="shared" si="2"/>
        <v>4.0175150519978123E-2</v>
      </c>
      <c r="E90" s="8">
        <f t="shared" si="4"/>
        <v>6.1588089513776687</v>
      </c>
    </row>
    <row r="91" spans="1:5" outlineLevel="1">
      <c r="A91" s="6">
        <f t="shared" si="3"/>
        <v>4.5</v>
      </c>
      <c r="B91" s="6">
        <f t="shared" si="0"/>
        <v>102.5</v>
      </c>
      <c r="C91" s="8">
        <f t="shared" si="1"/>
        <v>0.13333333333333344</v>
      </c>
      <c r="D91" s="9">
        <f t="shared" si="2"/>
        <v>3.580487804878052E-2</v>
      </c>
      <c r="E91" s="8">
        <f t="shared" si="4"/>
        <v>6.1946138294264497</v>
      </c>
    </row>
    <row r="92" spans="1:5" outlineLevel="1">
      <c r="A92" s="6">
        <f t="shared" si="3"/>
        <v>4.5999999999999996</v>
      </c>
      <c r="B92" s="6">
        <f t="shared" si="0"/>
        <v>103.5</v>
      </c>
      <c r="C92" s="8">
        <f t="shared" si="1"/>
        <v>0.11851851851851863</v>
      </c>
      <c r="D92" s="9">
        <f t="shared" si="2"/>
        <v>3.1519055287171263E-2</v>
      </c>
      <c r="E92" s="8">
        <f t="shared" si="4"/>
        <v>6.2261328847136213</v>
      </c>
    </row>
    <row r="93" spans="1:5" outlineLevel="1">
      <c r="A93" s="6">
        <f t="shared" si="3"/>
        <v>4.6999999999999993</v>
      </c>
      <c r="B93" s="6">
        <f t="shared" si="0"/>
        <v>104.5</v>
      </c>
      <c r="C93" s="8">
        <f t="shared" si="1"/>
        <v>0.1037037037037039</v>
      </c>
      <c r="D93" s="9">
        <f t="shared" si="2"/>
        <v>2.7315257841573681E-2</v>
      </c>
      <c r="E93" s="8">
        <f t="shared" si="4"/>
        <v>6.2534481425551949</v>
      </c>
    </row>
    <row r="94" spans="1:5" outlineLevel="1">
      <c r="A94" s="6">
        <f t="shared" si="3"/>
        <v>4.7999999999999989</v>
      </c>
      <c r="B94" s="6">
        <f t="shared" si="0"/>
        <v>105.49999999999999</v>
      </c>
      <c r="C94" s="8">
        <f t="shared" si="1"/>
        <v>8.8888888888889142E-2</v>
      </c>
      <c r="D94" s="9">
        <f t="shared" si="2"/>
        <v>2.3191153238546675E-2</v>
      </c>
      <c r="E94" s="8">
        <f t="shared" si="4"/>
        <v>6.2766392957937418</v>
      </c>
    </row>
    <row r="95" spans="1:5" outlineLevel="1">
      <c r="A95" s="6">
        <f t="shared" si="3"/>
        <v>4.8999999999999986</v>
      </c>
      <c r="B95" s="6">
        <f t="shared" si="0"/>
        <v>106.49999999999999</v>
      </c>
      <c r="C95" s="8">
        <f t="shared" si="1"/>
        <v>7.4074074074074403E-2</v>
      </c>
      <c r="D95" s="9">
        <f t="shared" si="2"/>
        <v>1.9144496609285428E-2</v>
      </c>
      <c r="E95" s="8">
        <f t="shared" si="4"/>
        <v>6.2957837924030269</v>
      </c>
    </row>
    <row r="96" spans="1:5" outlineLevel="1">
      <c r="A96" s="6">
        <f t="shared" si="3"/>
        <v>4.9999999999999982</v>
      </c>
      <c r="B96" s="6">
        <f t="shared" si="0"/>
        <v>107.49999999999999</v>
      </c>
      <c r="C96" s="8">
        <f t="shared" si="1"/>
        <v>5.925925925925965E-2</v>
      </c>
      <c r="D96" s="9">
        <f t="shared" si="2"/>
        <v>1.5173126614987185E-2</v>
      </c>
      <c r="E96" s="8">
        <f t="shared" si="4"/>
        <v>6.3109569190180137</v>
      </c>
    </row>
    <row r="97" spans="1:8" outlineLevel="1">
      <c r="A97" s="6">
        <f t="shared" si="3"/>
        <v>5.0999999999999979</v>
      </c>
      <c r="B97" s="6">
        <f t="shared" si="0"/>
        <v>108.49999999999997</v>
      </c>
      <c r="C97" s="8">
        <f t="shared" si="1"/>
        <v>4.4444444444444842E-2</v>
      </c>
      <c r="D97" s="9">
        <f t="shared" si="2"/>
        <v>1.1274961597542347E-2</v>
      </c>
      <c r="E97" s="8">
        <f t="shared" si="4"/>
        <v>6.322231880615556</v>
      </c>
    </row>
    <row r="98" spans="1:8" outlineLevel="1">
      <c r="A98" s="6">
        <f t="shared" si="3"/>
        <v>5.1999999999999975</v>
      </c>
      <c r="B98" s="6">
        <f t="shared" si="0"/>
        <v>109.49999999999997</v>
      </c>
      <c r="C98" s="8">
        <f t="shared" si="1"/>
        <v>2.9629629629630092E-2</v>
      </c>
      <c r="D98" s="9">
        <f t="shared" si="2"/>
        <v>7.4479959411467445E-3</v>
      </c>
      <c r="E98" s="8">
        <f t="shared" si="4"/>
        <v>6.3296798765567024</v>
      </c>
    </row>
    <row r="99" spans="1:8" outlineLevel="1">
      <c r="A99" s="6">
        <f t="shared" ref="A99:A100" si="5">+A98+0.1</f>
        <v>5.2999999999999972</v>
      </c>
      <c r="B99" s="6">
        <f t="shared" si="0"/>
        <v>110.49999999999997</v>
      </c>
      <c r="C99" s="8">
        <f t="shared" ref="C99:C100" si="6">IF(A99&lt;$E$30/2,0.2*(1+4*A99/$E$30),0.6*(1-(A99-$E$30/2)/($B$37-$E$30/2)))</f>
        <v>1.4814814814815346E-2</v>
      </c>
      <c r="D99" s="9">
        <f t="shared" ref="D99:D100" si="7">+$B$39*$B$40*$B$41*($B$32-$B$38)*C99/B99*$A$47</f>
        <v>3.6902966314732357E-3</v>
      </c>
      <c r="E99" s="8">
        <f t="shared" ref="E99:E100" si="8">+D99+E98</f>
        <v>6.3333701731881753</v>
      </c>
    </row>
    <row r="100" spans="1:8" outlineLevel="1">
      <c r="A100" s="6">
        <f t="shared" si="5"/>
        <v>5.3999999999999968</v>
      </c>
      <c r="B100" s="6">
        <f t="shared" si="0"/>
        <v>111.49999999999997</v>
      </c>
      <c r="C100" s="8">
        <f t="shared" si="6"/>
        <v>5.3290705182007512E-16</v>
      </c>
      <c r="D100" s="9">
        <f t="shared" si="7"/>
        <v>1.3155396055020247E-16</v>
      </c>
      <c r="E100" s="8">
        <f t="shared" si="8"/>
        <v>6.3333701731881753</v>
      </c>
    </row>
    <row r="101" spans="1:8">
      <c r="A101" s="6"/>
    </row>
    <row r="102" spans="1:8">
      <c r="A102" s="18" t="s">
        <v>48</v>
      </c>
    </row>
    <row r="103" spans="1:8" ht="16" thickBot="1">
      <c r="A103" s="6"/>
      <c r="H103" s="62">
        <f>+MAX(H106:H160)</f>
        <v>10.61726886601806</v>
      </c>
    </row>
    <row r="104" spans="1:8" outlineLevel="1">
      <c r="A104" s="19" t="s">
        <v>14</v>
      </c>
      <c r="B104" s="20" t="s">
        <v>41</v>
      </c>
      <c r="C104" s="20" t="s">
        <v>49</v>
      </c>
      <c r="D104" s="20" t="s">
        <v>50</v>
      </c>
      <c r="E104" s="20" t="s">
        <v>16</v>
      </c>
      <c r="F104" s="21" t="s">
        <v>51</v>
      </c>
      <c r="G104" s="61" t="s">
        <v>52</v>
      </c>
      <c r="H104" s="22" t="s">
        <v>43</v>
      </c>
    </row>
    <row r="105" spans="1:8" ht="16" outlineLevel="1" thickBot="1">
      <c r="A105" s="23" t="s">
        <v>44</v>
      </c>
      <c r="B105" s="24" t="s">
        <v>45</v>
      </c>
      <c r="C105" s="24" t="s">
        <v>45</v>
      </c>
      <c r="D105" s="24" t="s">
        <v>46</v>
      </c>
      <c r="E105" s="24" t="s">
        <v>46</v>
      </c>
      <c r="F105" s="24" t="s">
        <v>53</v>
      </c>
      <c r="G105" s="24" t="s">
        <v>47</v>
      </c>
      <c r="H105" s="25" t="s">
        <v>47</v>
      </c>
    </row>
    <row r="106" spans="1:8" outlineLevel="1">
      <c r="A106" s="9">
        <v>1E-3</v>
      </c>
      <c r="B106" s="7">
        <f>+$E$34+10*($B$31+A106)</f>
        <v>57.51</v>
      </c>
      <c r="C106" s="7">
        <f>+(1-$B$34)/(1+$B$34)/(1-2*$B$34)*B106</f>
        <v>77.417307692307688</v>
      </c>
      <c r="D106" s="8">
        <f t="shared" ref="D106:D137" si="9">+A106/$E$30</f>
        <v>3.7037037037037035E-4</v>
      </c>
      <c r="E106" s="6">
        <f>1-(1+1/(D106^2))^(-1.5)</f>
        <v>0.99999999994919475</v>
      </c>
      <c r="F106" s="6">
        <f>+$B$32*E106</f>
        <v>299.9999999847584</v>
      </c>
      <c r="G106" s="9">
        <f>+(F106)/(C106*1000)*100</f>
        <v>0.38751024664548872</v>
      </c>
      <c r="H106" s="8">
        <f>+G106</f>
        <v>0.38751024664548872</v>
      </c>
    </row>
    <row r="107" spans="1:8" outlineLevel="1">
      <c r="A107" s="7">
        <f>+A106+0.1</f>
        <v>0.10100000000000001</v>
      </c>
      <c r="B107" s="7">
        <f t="shared" ref="B107:B160" si="10">+$E$34+10*($B$31+A107)</f>
        <v>58.51</v>
      </c>
      <c r="C107" s="7">
        <f t="shared" ref="C107:C160" si="11">+(1-$B$34)/(1+$B$34)/(1-2*$B$34)*B107</f>
        <v>78.763461538461527</v>
      </c>
      <c r="D107" s="8">
        <f>+A107/$B$30</f>
        <v>3.3666666666666671E-2</v>
      </c>
      <c r="E107" s="9">
        <f t="shared" ref="E107:E160" si="12">1-(1+1/(D107^2))^(-1.5)</f>
        <v>0.99996190548907038</v>
      </c>
      <c r="F107" s="7">
        <f>+E107*$B$32</f>
        <v>299.98857164672114</v>
      </c>
      <c r="G107" s="9">
        <f t="shared" ref="G107:G160" si="13">+(F107)/(C107*1000)*100</f>
        <v>0.38087276230264666</v>
      </c>
      <c r="H107" s="8">
        <f>+H106+G107</f>
        <v>0.76838300894813538</v>
      </c>
    </row>
    <row r="108" spans="1:8" outlineLevel="1">
      <c r="A108" s="7">
        <f t="shared" ref="A108:A160" si="14">+A107+0.1</f>
        <v>0.20100000000000001</v>
      </c>
      <c r="B108" s="7">
        <f t="shared" si="10"/>
        <v>59.510000000000005</v>
      </c>
      <c r="C108" s="7">
        <f t="shared" si="11"/>
        <v>80.109615384615381</v>
      </c>
      <c r="D108" s="8">
        <f t="shared" si="9"/>
        <v>7.4444444444444438E-2</v>
      </c>
      <c r="E108" s="9">
        <f t="shared" si="12"/>
        <v>0.99959083679381966</v>
      </c>
      <c r="F108" s="7">
        <f t="shared" ref="F108:F160" si="15">+E108*$B$32</f>
        <v>299.87725103814591</v>
      </c>
      <c r="G108" s="9">
        <f t="shared" si="13"/>
        <v>0.37433365470349739</v>
      </c>
      <c r="H108" s="8">
        <f t="shared" ref="H108:H160" si="16">+H107+G108</f>
        <v>1.1427166636516328</v>
      </c>
    </row>
    <row r="109" spans="1:8" outlineLevel="1">
      <c r="A109" s="7">
        <f t="shared" si="14"/>
        <v>0.30100000000000005</v>
      </c>
      <c r="B109" s="7">
        <f t="shared" si="10"/>
        <v>60.510000000000005</v>
      </c>
      <c r="C109" s="7">
        <f>+(1-$B$34)/(1+$B$34)/(1-2*$B$34)*B109</f>
        <v>81.455769230769235</v>
      </c>
      <c r="D109" s="8">
        <f t="shared" si="9"/>
        <v>0.11148148148148149</v>
      </c>
      <c r="E109" s="9">
        <f t="shared" si="12"/>
        <v>0.99863992801449464</v>
      </c>
      <c r="F109" s="7">
        <f t="shared" si="15"/>
        <v>299.59197840434837</v>
      </c>
      <c r="G109" s="9">
        <f t="shared" si="13"/>
        <v>0.36779712626073885</v>
      </c>
      <c r="H109" s="8">
        <f t="shared" si="16"/>
        <v>1.5105137899123717</v>
      </c>
    </row>
    <row r="110" spans="1:8" outlineLevel="1">
      <c r="A110" s="7">
        <f t="shared" si="14"/>
        <v>0.40100000000000002</v>
      </c>
      <c r="B110" s="7">
        <f t="shared" si="10"/>
        <v>61.51</v>
      </c>
      <c r="C110" s="7">
        <f t="shared" si="11"/>
        <v>82.80192307692306</v>
      </c>
      <c r="D110" s="8">
        <f t="shared" si="9"/>
        <v>0.14851851851851852</v>
      </c>
      <c r="E110" s="9">
        <f t="shared" si="12"/>
        <v>0.99682949332700432</v>
      </c>
      <c r="F110" s="7">
        <f t="shared" si="15"/>
        <v>299.04884799810128</v>
      </c>
      <c r="G110" s="9">
        <f t="shared" si="13"/>
        <v>0.36116171809232572</v>
      </c>
      <c r="H110" s="8">
        <f t="shared" si="16"/>
        <v>1.8716755080046974</v>
      </c>
    </row>
    <row r="111" spans="1:8" outlineLevel="1">
      <c r="A111" s="7">
        <f t="shared" si="14"/>
        <v>0.501</v>
      </c>
      <c r="B111" s="7">
        <f t="shared" si="10"/>
        <v>62.51</v>
      </c>
      <c r="C111" s="7">
        <f t="shared" si="11"/>
        <v>84.148076923076914</v>
      </c>
      <c r="D111" s="8">
        <f t="shared" si="9"/>
        <v>0.18555555555555556</v>
      </c>
      <c r="E111" s="9">
        <f t="shared" si="12"/>
        <v>0.99392746984599867</v>
      </c>
      <c r="F111" s="7">
        <f t="shared" si="15"/>
        <v>298.17824095379962</v>
      </c>
      <c r="G111" s="9">
        <f t="shared" si="13"/>
        <v>0.35434944190866791</v>
      </c>
      <c r="H111" s="8">
        <f t="shared" si="16"/>
        <v>2.2260249499133655</v>
      </c>
    </row>
    <row r="112" spans="1:8" outlineLevel="1">
      <c r="A112" s="7">
        <f t="shared" si="14"/>
        <v>0.60099999999999998</v>
      </c>
      <c r="B112" s="7">
        <f t="shared" si="10"/>
        <v>63.51</v>
      </c>
      <c r="C112" s="7">
        <f t="shared" si="11"/>
        <v>85.494230769230754</v>
      </c>
      <c r="D112" s="8">
        <f t="shared" si="9"/>
        <v>0.22259259259259256</v>
      </c>
      <c r="E112" s="9">
        <f t="shared" si="12"/>
        <v>0.98974279585448111</v>
      </c>
      <c r="F112" s="7">
        <f t="shared" si="15"/>
        <v>296.92283875634433</v>
      </c>
      <c r="G112" s="9">
        <f t="shared" si="13"/>
        <v>0.34730160864048204</v>
      </c>
      <c r="H112" s="8">
        <f t="shared" si="16"/>
        <v>2.5733265585538474</v>
      </c>
    </row>
    <row r="113" spans="1:8" outlineLevel="1">
      <c r="A113" s="7">
        <f t="shared" si="14"/>
        <v>0.70099999999999996</v>
      </c>
      <c r="B113" s="7">
        <f t="shared" si="10"/>
        <v>64.510000000000005</v>
      </c>
      <c r="C113" s="7">
        <f t="shared" si="11"/>
        <v>86.840384615384608</v>
      </c>
      <c r="D113" s="8">
        <f t="shared" si="9"/>
        <v>0.2596296296296296</v>
      </c>
      <c r="E113" s="9">
        <f t="shared" si="12"/>
        <v>0.98413034961300438</v>
      </c>
      <c r="F113" s="7">
        <f t="shared" si="15"/>
        <v>295.23910488390129</v>
      </c>
      <c r="G113" s="9">
        <f t="shared" si="13"/>
        <v>0.33997903877500429</v>
      </c>
      <c r="H113" s="8">
        <f t="shared" si="16"/>
        <v>2.9133055973288515</v>
      </c>
    </row>
    <row r="114" spans="1:8" outlineLevel="1">
      <c r="A114" s="7">
        <f t="shared" si="14"/>
        <v>0.80099999999999993</v>
      </c>
      <c r="B114" s="7">
        <f t="shared" si="10"/>
        <v>65.510000000000005</v>
      </c>
      <c r="C114" s="7">
        <f t="shared" si="11"/>
        <v>88.186538461538461</v>
      </c>
      <c r="D114" s="8">
        <f t="shared" si="9"/>
        <v>0.29666666666666663</v>
      </c>
      <c r="E114" s="9">
        <f t="shared" si="12"/>
        <v>0.97699319773144833</v>
      </c>
      <c r="F114" s="7">
        <f t="shared" si="15"/>
        <v>293.09795931943449</v>
      </c>
      <c r="G114" s="9">
        <f t="shared" si="13"/>
        <v>0.33236133817324709</v>
      </c>
      <c r="H114" s="8">
        <f t="shared" si="16"/>
        <v>3.2456669355020988</v>
      </c>
    </row>
    <row r="115" spans="1:8" outlineLevel="1">
      <c r="A115" s="7">
        <f t="shared" si="14"/>
        <v>0.90099999999999991</v>
      </c>
      <c r="B115" s="7">
        <f t="shared" si="10"/>
        <v>66.509999999999991</v>
      </c>
      <c r="C115" s="7">
        <f t="shared" si="11"/>
        <v>89.532692307692287</v>
      </c>
      <c r="D115" s="8">
        <f t="shared" si="9"/>
        <v>0.33370370370370367</v>
      </c>
      <c r="E115" s="9">
        <f t="shared" si="12"/>
        <v>0.96828227601451489</v>
      </c>
      <c r="F115" s="7">
        <f t="shared" si="15"/>
        <v>290.48468280435446</v>
      </c>
      <c r="G115" s="9">
        <f t="shared" si="13"/>
        <v>0.32444537890814346</v>
      </c>
      <c r="H115" s="8">
        <f t="shared" si="16"/>
        <v>3.5701123144102422</v>
      </c>
    </row>
    <row r="116" spans="1:8" outlineLevel="1">
      <c r="A116" s="7">
        <f t="shared" si="14"/>
        <v>1.0009999999999999</v>
      </c>
      <c r="B116" s="7">
        <f t="shared" si="10"/>
        <v>67.509999999999991</v>
      </c>
      <c r="C116" s="7">
        <f t="shared" si="11"/>
        <v>90.878846153846141</v>
      </c>
      <c r="D116" s="8">
        <f t="shared" si="9"/>
        <v>0.37074074074074065</v>
      </c>
      <c r="E116" s="9">
        <f t="shared" si="12"/>
        <v>0.95799381760952129</v>
      </c>
      <c r="F116" s="7">
        <f t="shared" si="15"/>
        <v>287.39814528285638</v>
      </c>
      <c r="G116" s="9">
        <f t="shared" si="13"/>
        <v>0.31624317148165421</v>
      </c>
      <c r="H116" s="8">
        <f t="shared" si="16"/>
        <v>3.8863554858918965</v>
      </c>
    </row>
    <row r="117" spans="1:8" outlineLevel="1">
      <c r="A117" s="7">
        <f t="shared" si="14"/>
        <v>1.101</v>
      </c>
      <c r="B117" s="7">
        <f t="shared" si="10"/>
        <v>68.509999999999991</v>
      </c>
      <c r="C117" s="7">
        <f t="shared" si="11"/>
        <v>92.22499999999998</v>
      </c>
      <c r="D117" s="8">
        <f t="shared" si="9"/>
        <v>0.40777777777777774</v>
      </c>
      <c r="E117" s="9">
        <f t="shared" si="12"/>
        <v>0.94616497673217448</v>
      </c>
      <c r="F117" s="7">
        <f t="shared" si="15"/>
        <v>283.84949301965236</v>
      </c>
      <c r="G117" s="9">
        <f t="shared" si="13"/>
        <v>0.30777933642683913</v>
      </c>
      <c r="H117" s="8">
        <f t="shared" si="16"/>
        <v>4.1941348223187358</v>
      </c>
    </row>
    <row r="118" spans="1:8" outlineLevel="1">
      <c r="A118" s="7">
        <f t="shared" si="14"/>
        <v>1.2010000000000001</v>
      </c>
      <c r="B118" s="7">
        <f t="shared" si="10"/>
        <v>69.510000000000005</v>
      </c>
      <c r="C118" s="7">
        <f t="shared" si="11"/>
        <v>93.571153846153848</v>
      </c>
      <c r="D118" s="8">
        <f t="shared" si="9"/>
        <v>0.44481481481481483</v>
      </c>
      <c r="E118" s="9">
        <f t="shared" si="12"/>
        <v>0.9328681653581764</v>
      </c>
      <c r="F118" s="7">
        <f t="shared" si="15"/>
        <v>279.86044960745295</v>
      </c>
      <c r="G118" s="9">
        <f t="shared" si="13"/>
        <v>0.29908838151936112</v>
      </c>
      <c r="H118" s="8">
        <f t="shared" si="16"/>
        <v>4.493223203838097</v>
      </c>
    </row>
    <row r="119" spans="1:8" outlineLevel="1">
      <c r="A119" s="7">
        <f t="shared" si="14"/>
        <v>1.3010000000000002</v>
      </c>
      <c r="B119" s="7">
        <f t="shared" si="10"/>
        <v>70.510000000000005</v>
      </c>
      <c r="C119" s="7">
        <f t="shared" si="11"/>
        <v>94.917307692307688</v>
      </c>
      <c r="D119" s="8">
        <f t="shared" si="9"/>
        <v>0.48185185185185186</v>
      </c>
      <c r="E119" s="9">
        <f t="shared" si="12"/>
        <v>0.91820462910095524</v>
      </c>
      <c r="F119" s="7">
        <f t="shared" si="15"/>
        <v>275.46138873028656</v>
      </c>
      <c r="G119" s="9">
        <f t="shared" si="13"/>
        <v>0.29021197021648198</v>
      </c>
      <c r="H119" s="8">
        <f t="shared" si="16"/>
        <v>4.7834351740545786</v>
      </c>
    </row>
    <row r="120" spans="1:8" outlineLevel="1">
      <c r="A120" s="7">
        <f t="shared" si="14"/>
        <v>1.4010000000000002</v>
      </c>
      <c r="B120" s="7">
        <f t="shared" si="10"/>
        <v>71.510000000000005</v>
      </c>
      <c r="C120" s="7">
        <f t="shared" si="11"/>
        <v>96.263461538461542</v>
      </c>
      <c r="D120" s="8">
        <f t="shared" si="9"/>
        <v>0.51888888888888896</v>
      </c>
      <c r="E120" s="9">
        <f t="shared" si="12"/>
        <v>0.90229774825751152</v>
      </c>
      <c r="F120" s="7">
        <f t="shared" si="15"/>
        <v>270.68932447725348</v>
      </c>
      <c r="G120" s="9">
        <f t="shared" si="13"/>
        <v>0.28119633363599855</v>
      </c>
      <c r="H120" s="8">
        <f t="shared" si="16"/>
        <v>5.064631507690577</v>
      </c>
    </row>
    <row r="121" spans="1:8" outlineLevel="1">
      <c r="A121" s="7">
        <f t="shared" si="14"/>
        <v>1.5010000000000003</v>
      </c>
      <c r="B121" s="7">
        <f t="shared" si="10"/>
        <v>72.510000000000005</v>
      </c>
      <c r="C121" s="7">
        <f t="shared" si="11"/>
        <v>97.609615384615381</v>
      </c>
      <c r="D121" s="8">
        <f t="shared" si="9"/>
        <v>0.55592592592592605</v>
      </c>
      <c r="E121" s="9">
        <f t="shared" si="12"/>
        <v>0.8852864756753156</v>
      </c>
      <c r="F121" s="7">
        <f t="shared" si="15"/>
        <v>265.58594270259471</v>
      </c>
      <c r="G121" s="9">
        <f t="shared" si="13"/>
        <v>0.27208993873820214</v>
      </c>
      <c r="H121" s="8">
        <f t="shared" si="16"/>
        <v>5.3367214464287791</v>
      </c>
    </row>
    <row r="122" spans="1:8" outlineLevel="1">
      <c r="A122" s="7">
        <f t="shared" si="14"/>
        <v>1.6010000000000004</v>
      </c>
      <c r="B122" s="7">
        <f t="shared" si="10"/>
        <v>73.510000000000005</v>
      </c>
      <c r="C122" s="7">
        <f t="shared" si="11"/>
        <v>98.955769230769235</v>
      </c>
      <c r="D122" s="8">
        <f t="shared" si="9"/>
        <v>0.59296296296296314</v>
      </c>
      <c r="E122" s="9">
        <f t="shared" si="12"/>
        <v>0.86731923026386104</v>
      </c>
      <c r="F122" s="7">
        <f t="shared" si="15"/>
        <v>260.19576907915831</v>
      </c>
      <c r="G122" s="9">
        <f t="shared" si="13"/>
        <v>0.26294148497029035</v>
      </c>
      <c r="H122" s="8">
        <f t="shared" si="16"/>
        <v>5.5996629313990693</v>
      </c>
    </row>
    <row r="123" spans="1:8" outlineLevel="1">
      <c r="A123" s="7">
        <f t="shared" si="14"/>
        <v>1.7010000000000005</v>
      </c>
      <c r="B123" s="7">
        <f t="shared" si="10"/>
        <v>74.510000000000005</v>
      </c>
      <c r="C123" s="7">
        <f t="shared" si="11"/>
        <v>100.30192307692307</v>
      </c>
      <c r="D123" s="8">
        <f t="shared" si="9"/>
        <v>0.63000000000000012</v>
      </c>
      <c r="E123" s="9">
        <f t="shared" si="12"/>
        <v>0.84854846745573798</v>
      </c>
      <c r="F123" s="7">
        <f t="shared" si="15"/>
        <v>254.5645402367214</v>
      </c>
      <c r="G123" s="9">
        <f t="shared" si="13"/>
        <v>0.25379826470674144</v>
      </c>
      <c r="H123" s="8">
        <f t="shared" si="16"/>
        <v>5.8534611961058109</v>
      </c>
    </row>
    <row r="124" spans="1:8" outlineLevel="1">
      <c r="A124" s="7">
        <f t="shared" si="14"/>
        <v>1.8010000000000006</v>
      </c>
      <c r="B124" s="7">
        <f t="shared" si="10"/>
        <v>75.510000000000005</v>
      </c>
      <c r="C124" s="7">
        <f t="shared" si="11"/>
        <v>101.64807692307691</v>
      </c>
      <c r="D124" s="8">
        <f t="shared" si="9"/>
        <v>0.66703703703703721</v>
      </c>
      <c r="E124" s="9">
        <f t="shared" si="12"/>
        <v>0.82912605634119452</v>
      </c>
      <c r="F124" s="7">
        <f t="shared" si="15"/>
        <v>248.73781690235836</v>
      </c>
      <c r="G124" s="9">
        <f t="shared" si="13"/>
        <v>0.24470489204689327</v>
      </c>
      <c r="H124" s="8">
        <f t="shared" si="16"/>
        <v>6.0981660881527038</v>
      </c>
    </row>
    <row r="125" spans="1:8" outlineLevel="1">
      <c r="A125" s="7">
        <f t="shared" si="14"/>
        <v>1.9010000000000007</v>
      </c>
      <c r="B125" s="7">
        <f t="shared" si="10"/>
        <v>76.510000000000005</v>
      </c>
      <c r="C125" s="7">
        <f t="shared" si="11"/>
        <v>102.99423076923077</v>
      </c>
      <c r="D125" s="8">
        <f t="shared" si="9"/>
        <v>0.7040740740740743</v>
      </c>
      <c r="E125" s="9">
        <f t="shared" si="12"/>
        <v>0.80919951452396743</v>
      </c>
      <c r="F125" s="7">
        <f t="shared" si="15"/>
        <v>242.75985435719022</v>
      </c>
      <c r="G125" s="9">
        <f t="shared" si="13"/>
        <v>0.23570238113736564</v>
      </c>
      <c r="H125" s="8">
        <f t="shared" si="16"/>
        <v>6.3338684692900697</v>
      </c>
    </row>
    <row r="126" spans="1:8" outlineLevel="1">
      <c r="A126" s="7">
        <f t="shared" si="14"/>
        <v>2.0010000000000008</v>
      </c>
      <c r="B126" s="7">
        <f t="shared" si="10"/>
        <v>77.510000000000005</v>
      </c>
      <c r="C126" s="7">
        <f t="shared" si="11"/>
        <v>104.34038461538461</v>
      </c>
      <c r="D126" s="8">
        <f t="shared" si="9"/>
        <v>0.74111111111111139</v>
      </c>
      <c r="E126" s="9">
        <f t="shared" si="12"/>
        <v>0.78890908950795069</v>
      </c>
      <c r="F126" s="7">
        <f t="shared" si="15"/>
        <v>236.67272685238521</v>
      </c>
      <c r="G126" s="9">
        <f t="shared" si="13"/>
        <v>0.22682753923593327</v>
      </c>
      <c r="H126" s="8">
        <f t="shared" si="16"/>
        <v>6.5606960085260031</v>
      </c>
    </row>
    <row r="127" spans="1:8" outlineLevel="1">
      <c r="A127" s="7">
        <f t="shared" si="14"/>
        <v>2.1010000000000009</v>
      </c>
      <c r="B127" s="7">
        <f t="shared" si="10"/>
        <v>78.510000000000005</v>
      </c>
      <c r="C127" s="7">
        <f t="shared" si="11"/>
        <v>105.68653846153846</v>
      </c>
      <c r="D127" s="8">
        <f t="shared" si="9"/>
        <v>0.77814814814814837</v>
      </c>
      <c r="E127" s="9">
        <f t="shared" si="12"/>
        <v>0.76838563037399887</v>
      </c>
      <c r="F127" s="7">
        <f t="shared" si="15"/>
        <v>230.51568911219965</v>
      </c>
      <c r="G127" s="9">
        <f t="shared" si="13"/>
        <v>0.21811263048991722</v>
      </c>
      <c r="H127" s="8">
        <f t="shared" si="16"/>
        <v>6.7788086390159199</v>
      </c>
    </row>
    <row r="128" spans="1:8" outlineLevel="1">
      <c r="A128" s="7">
        <f t="shared" si="14"/>
        <v>2.201000000000001</v>
      </c>
      <c r="B128" s="7">
        <f t="shared" si="10"/>
        <v>79.510000000000005</v>
      </c>
      <c r="C128" s="7">
        <f t="shared" si="11"/>
        <v>107.0326923076923</v>
      </c>
      <c r="D128" s="8">
        <f t="shared" si="9"/>
        <v>0.81518518518518546</v>
      </c>
      <c r="E128" s="9">
        <f t="shared" si="12"/>
        <v>0.74774916442851069</v>
      </c>
      <c r="F128" s="7">
        <f t="shared" si="15"/>
        <v>224.3247493285532</v>
      </c>
      <c r="G128" s="9">
        <f t="shared" si="13"/>
        <v>0.20958526268186872</v>
      </c>
      <c r="H128" s="8">
        <f t="shared" si="16"/>
        <v>6.9883939016977887</v>
      </c>
    </row>
    <row r="129" spans="1:8" outlineLevel="1">
      <c r="A129" s="7">
        <f t="shared" si="14"/>
        <v>2.301000000000001</v>
      </c>
      <c r="B129" s="7">
        <f t="shared" si="10"/>
        <v>80.510000000000019</v>
      </c>
      <c r="C129" s="7">
        <f t="shared" si="11"/>
        <v>108.37884615384617</v>
      </c>
      <c r="D129" s="8">
        <f t="shared" si="9"/>
        <v>0.85222222222222255</v>
      </c>
      <c r="E129" s="9">
        <f t="shared" si="12"/>
        <v>0.72710807801639388</v>
      </c>
      <c r="F129" s="7">
        <f t="shared" si="15"/>
        <v>218.13242340491817</v>
      </c>
      <c r="G129" s="9">
        <f t="shared" si="13"/>
        <v>0.20126844965231899</v>
      </c>
      <c r="H129" s="8">
        <f t="shared" si="16"/>
        <v>7.1896623513501074</v>
      </c>
    </row>
    <row r="130" spans="1:8" outlineLevel="1">
      <c r="A130" s="7">
        <f t="shared" si="14"/>
        <v>2.4010000000000011</v>
      </c>
      <c r="B130" s="7">
        <f t="shared" si="10"/>
        <v>81.510000000000019</v>
      </c>
      <c r="C130" s="7">
        <f t="shared" si="11"/>
        <v>109.72500000000002</v>
      </c>
      <c r="D130" s="8">
        <f t="shared" si="9"/>
        <v>0.88925925925925964</v>
      </c>
      <c r="E130" s="9">
        <f t="shared" si="12"/>
        <v>0.70655879590118187</v>
      </c>
      <c r="F130" s="7">
        <f t="shared" si="15"/>
        <v>211.96763877035457</v>
      </c>
      <c r="G130" s="9">
        <f t="shared" si="13"/>
        <v>0.19318080544119801</v>
      </c>
      <c r="H130" s="8">
        <f t="shared" si="16"/>
        <v>7.3828431567913055</v>
      </c>
    </row>
    <row r="131" spans="1:8" outlineLevel="1">
      <c r="A131" s="7">
        <f t="shared" si="14"/>
        <v>2.5010000000000012</v>
      </c>
      <c r="B131" s="7">
        <f t="shared" si="10"/>
        <v>82.510000000000019</v>
      </c>
      <c r="C131" s="7">
        <f t="shared" si="11"/>
        <v>111.07115384615386</v>
      </c>
      <c r="D131" s="8">
        <f t="shared" si="9"/>
        <v>0.92629629629629673</v>
      </c>
      <c r="E131" s="9">
        <f t="shared" si="12"/>
        <v>0.68618585661420495</v>
      </c>
      <c r="F131" s="7">
        <f t="shared" si="15"/>
        <v>205.85575698426149</v>
      </c>
      <c r="G131" s="9">
        <f t="shared" si="13"/>
        <v>0.1853368312616929</v>
      </c>
      <c r="H131" s="8">
        <f t="shared" si="16"/>
        <v>7.5681799880529983</v>
      </c>
    </row>
    <row r="132" spans="1:8" outlineLevel="1">
      <c r="A132" s="7">
        <f t="shared" si="14"/>
        <v>2.6010000000000013</v>
      </c>
      <c r="B132" s="7">
        <f t="shared" si="10"/>
        <v>83.510000000000019</v>
      </c>
      <c r="C132" s="7">
        <f t="shared" si="11"/>
        <v>112.4173076923077</v>
      </c>
      <c r="D132" s="8">
        <f t="shared" si="9"/>
        <v>0.96333333333333371</v>
      </c>
      <c r="E132" s="9">
        <f t="shared" si="12"/>
        <v>0.66606228933927969</v>
      </c>
      <c r="F132" s="7">
        <f t="shared" si="15"/>
        <v>199.81868680178391</v>
      </c>
      <c r="G132" s="9">
        <f t="shared" si="13"/>
        <v>0.17774726232431978</v>
      </c>
      <c r="H132" s="8">
        <f t="shared" si="16"/>
        <v>7.745927250377318</v>
      </c>
    </row>
    <row r="133" spans="1:8" outlineLevel="1">
      <c r="A133" s="7">
        <f t="shared" si="14"/>
        <v>2.7010000000000014</v>
      </c>
      <c r="B133" s="7">
        <f t="shared" si="10"/>
        <v>84.510000000000019</v>
      </c>
      <c r="C133" s="7">
        <f t="shared" si="11"/>
        <v>113.76346153846156</v>
      </c>
      <c r="D133" s="8">
        <f t="shared" si="9"/>
        <v>1.0003703703703708</v>
      </c>
      <c r="E133" s="9">
        <f t="shared" si="12"/>
        <v>0.64625020905115393</v>
      </c>
      <c r="F133" s="7">
        <f t="shared" si="15"/>
        <v>193.87506271534619</v>
      </c>
      <c r="G133" s="9">
        <f t="shared" si="13"/>
        <v>0.17041944759196714</v>
      </c>
      <c r="H133" s="8">
        <f t="shared" si="16"/>
        <v>7.9163466979692849</v>
      </c>
    </row>
    <row r="134" spans="1:8" outlineLevel="1">
      <c r="A134" s="7">
        <f t="shared" si="14"/>
        <v>2.8010000000000015</v>
      </c>
      <c r="B134" s="7">
        <f t="shared" si="10"/>
        <v>85.510000000000019</v>
      </c>
      <c r="C134" s="7">
        <f t="shared" si="11"/>
        <v>115.1096153846154</v>
      </c>
      <c r="D134" s="8">
        <f t="shared" si="9"/>
        <v>1.037407407407408</v>
      </c>
      <c r="E134" s="9">
        <f t="shared" si="12"/>
        <v>0.62680155908070145</v>
      </c>
      <c r="F134" s="7">
        <f t="shared" si="15"/>
        <v>188.04046772421043</v>
      </c>
      <c r="G134" s="9">
        <f t="shared" si="13"/>
        <v>0.16335774131110717</v>
      </c>
      <c r="H134" s="8">
        <f t="shared" si="16"/>
        <v>8.0797044392803929</v>
      </c>
    </row>
    <row r="135" spans="1:8" outlineLevel="1">
      <c r="A135" s="7">
        <f t="shared" si="14"/>
        <v>2.9010000000000016</v>
      </c>
      <c r="B135" s="7">
        <f t="shared" si="10"/>
        <v>86.510000000000019</v>
      </c>
      <c r="C135" s="7">
        <f t="shared" si="11"/>
        <v>116.45576923076925</v>
      </c>
      <c r="D135" s="8">
        <f t="shared" si="9"/>
        <v>1.074444444444445</v>
      </c>
      <c r="E135" s="9">
        <f t="shared" si="12"/>
        <v>0.60775894282393139</v>
      </c>
      <c r="F135" s="7">
        <f t="shared" si="15"/>
        <v>182.3276828471794</v>
      </c>
      <c r="G135" s="9">
        <f t="shared" si="13"/>
        <v>0.15656389035211996</v>
      </c>
      <c r="H135" s="8">
        <f t="shared" si="16"/>
        <v>8.2362683296325123</v>
      </c>
    </row>
    <row r="136" spans="1:8" outlineLevel="1">
      <c r="A136" s="7">
        <f t="shared" si="14"/>
        <v>3.0010000000000017</v>
      </c>
      <c r="B136" s="7">
        <f t="shared" si="10"/>
        <v>87.510000000000019</v>
      </c>
      <c r="C136" s="7">
        <f t="shared" si="11"/>
        <v>117.80192307692309</v>
      </c>
      <c r="D136" s="8">
        <f t="shared" si="9"/>
        <v>1.111481481481482</v>
      </c>
      <c r="E136" s="9">
        <f t="shared" si="12"/>
        <v>0.58915649813884041</v>
      </c>
      <c r="F136" s="7">
        <f t="shared" si="15"/>
        <v>176.74694944165213</v>
      </c>
      <c r="G136" s="9">
        <f t="shared" si="13"/>
        <v>0.15003740586326314</v>
      </c>
      <c r="H136" s="8">
        <f t="shared" si="16"/>
        <v>8.3863057354957746</v>
      </c>
    </row>
    <row r="137" spans="1:8" outlineLevel="1">
      <c r="A137" s="7">
        <f t="shared" si="14"/>
        <v>3.1010000000000018</v>
      </c>
      <c r="B137" s="7">
        <f t="shared" si="10"/>
        <v>88.510000000000019</v>
      </c>
      <c r="C137" s="7">
        <f t="shared" si="11"/>
        <v>119.14807692307694</v>
      </c>
      <c r="D137" s="8">
        <f t="shared" si="9"/>
        <v>1.1485185185185192</v>
      </c>
      <c r="E137" s="9">
        <f t="shared" si="12"/>
        <v>0.5710207786051944</v>
      </c>
      <c r="F137" s="7">
        <f t="shared" si="15"/>
        <v>171.30623358155833</v>
      </c>
      <c r="G137" s="9">
        <f t="shared" si="13"/>
        <v>0.14377591145860891</v>
      </c>
      <c r="H137" s="8">
        <f t="shared" si="16"/>
        <v>8.5300816469543843</v>
      </c>
    </row>
    <row r="138" spans="1:8" outlineLevel="1">
      <c r="A138" s="7">
        <f t="shared" si="14"/>
        <v>3.2010000000000018</v>
      </c>
      <c r="B138" s="7">
        <f t="shared" si="10"/>
        <v>89.510000000000019</v>
      </c>
      <c r="C138" s="7">
        <f t="shared" si="11"/>
        <v>120.49423076923078</v>
      </c>
      <c r="D138" s="8">
        <f t="shared" ref="D138:D160" si="17">+A138/$E$30</f>
        <v>1.1855555555555561</v>
      </c>
      <c r="E138" s="9">
        <f t="shared" si="12"/>
        <v>0.55337161502580035</v>
      </c>
      <c r="F138" s="7">
        <f t="shared" si="15"/>
        <v>166.01148450774011</v>
      </c>
      <c r="G138" s="9">
        <f t="shared" si="13"/>
        <v>0.13777546314701444</v>
      </c>
      <c r="H138" s="8">
        <f t="shared" si="16"/>
        <v>8.6678571101013979</v>
      </c>
    </row>
    <row r="139" spans="1:8" outlineLevel="1">
      <c r="A139" s="7">
        <f t="shared" si="14"/>
        <v>3.3010000000000019</v>
      </c>
      <c r="B139" s="7">
        <f t="shared" si="10"/>
        <v>90.510000000000019</v>
      </c>
      <c r="C139" s="7">
        <f t="shared" si="11"/>
        <v>121.84038461538464</v>
      </c>
      <c r="D139" s="8">
        <f t="shared" si="17"/>
        <v>1.2225925925925931</v>
      </c>
      <c r="E139" s="9">
        <f t="shared" si="12"/>
        <v>0.53622293826708889</v>
      </c>
      <c r="F139" s="7">
        <f t="shared" si="15"/>
        <v>160.86688148012666</v>
      </c>
      <c r="G139" s="9">
        <f t="shared" si="13"/>
        <v>0.13203083853349409</v>
      </c>
      <c r="H139" s="8">
        <f t="shared" si="16"/>
        <v>8.7998879486348915</v>
      </c>
    </row>
    <row r="140" spans="1:8" outlineLevel="1">
      <c r="A140" s="7">
        <f t="shared" si="14"/>
        <v>3.401000000000002</v>
      </c>
      <c r="B140" s="7">
        <f t="shared" si="10"/>
        <v>91.510000000000019</v>
      </c>
      <c r="C140" s="7">
        <f t="shared" si="11"/>
        <v>123.18653846153848</v>
      </c>
      <c r="D140" s="8">
        <f t="shared" si="17"/>
        <v>1.2596296296296303</v>
      </c>
      <c r="E140" s="9">
        <f t="shared" si="12"/>
        <v>0.51958355083045848</v>
      </c>
      <c r="F140" s="7">
        <f t="shared" si="15"/>
        <v>155.87506524913755</v>
      </c>
      <c r="G140" s="9">
        <f t="shared" si="13"/>
        <v>0.12653579457288278</v>
      </c>
      <c r="H140" s="8">
        <f t="shared" si="16"/>
        <v>8.9264237432077742</v>
      </c>
    </row>
    <row r="141" spans="1:8" outlineLevel="1">
      <c r="A141" s="7">
        <f t="shared" si="14"/>
        <v>3.5010000000000021</v>
      </c>
      <c r="B141" s="7">
        <f t="shared" si="10"/>
        <v>92.510000000000019</v>
      </c>
      <c r="C141" s="7">
        <f t="shared" si="11"/>
        <v>124.53269230769233</v>
      </c>
      <c r="D141" s="8">
        <f t="shared" si="17"/>
        <v>1.2966666666666673</v>
      </c>
      <c r="E141" s="9">
        <f t="shared" si="12"/>
        <v>0.50345783954106071</v>
      </c>
      <c r="F141" s="7">
        <f t="shared" si="15"/>
        <v>151.03735186231822</v>
      </c>
      <c r="G141" s="9">
        <f t="shared" si="13"/>
        <v>0.12128329442130652</v>
      </c>
      <c r="H141" s="8">
        <f t="shared" si="16"/>
        <v>9.0477070376290811</v>
      </c>
    </row>
    <row r="142" spans="1:8" outlineLevel="1">
      <c r="A142" s="7">
        <f t="shared" si="14"/>
        <v>3.6010000000000022</v>
      </c>
      <c r="B142" s="7">
        <f t="shared" si="10"/>
        <v>93.510000000000019</v>
      </c>
      <c r="C142" s="7">
        <f t="shared" si="11"/>
        <v>125.87884615384617</v>
      </c>
      <c r="D142" s="8">
        <f t="shared" si="17"/>
        <v>1.3337037037037045</v>
      </c>
      <c r="E142" s="9">
        <f t="shared" si="12"/>
        <v>0.48784642559933489</v>
      </c>
      <c r="F142" s="7">
        <f t="shared" si="15"/>
        <v>146.35392767980048</v>
      </c>
      <c r="G142" s="9">
        <f t="shared" si="13"/>
        <v>0.11626570480391134</v>
      </c>
      <c r="H142" s="8">
        <f t="shared" si="16"/>
        <v>9.1639727424329926</v>
      </c>
    </row>
    <row r="143" spans="1:8" outlineLevel="1">
      <c r="A143" s="7">
        <f t="shared" si="14"/>
        <v>3.7010000000000023</v>
      </c>
      <c r="B143" s="7">
        <f t="shared" si="10"/>
        <v>94.510000000000019</v>
      </c>
      <c r="C143" s="7">
        <f t="shared" si="11"/>
        <v>127.22500000000001</v>
      </c>
      <c r="D143" s="8">
        <f t="shared" si="17"/>
        <v>1.3707407407407415</v>
      </c>
      <c r="E143" s="9">
        <f t="shared" si="12"/>
        <v>0.47274675113518994</v>
      </c>
      <c r="F143" s="7">
        <f t="shared" si="15"/>
        <v>141.82402534055697</v>
      </c>
      <c r="G143" s="9">
        <f t="shared" si="13"/>
        <v>0.11147496587978539</v>
      </c>
      <c r="H143" s="8">
        <f t="shared" si="16"/>
        <v>9.2754477083127789</v>
      </c>
    </row>
    <row r="144" spans="1:8" outlineLevel="1">
      <c r="A144" s="7">
        <f t="shared" si="14"/>
        <v>3.8010000000000024</v>
      </c>
      <c r="B144" s="7">
        <f t="shared" si="10"/>
        <v>95.510000000000019</v>
      </c>
      <c r="C144" s="7">
        <f t="shared" si="11"/>
        <v>128.57115384615386</v>
      </c>
      <c r="D144" s="8">
        <f t="shared" si="17"/>
        <v>1.4077777777777785</v>
      </c>
      <c r="E144" s="9">
        <f t="shared" si="12"/>
        <v>0.45815360350327872</v>
      </c>
      <c r="F144" s="7">
        <f t="shared" si="15"/>
        <v>137.44608105098362</v>
      </c>
      <c r="G144" s="9">
        <f t="shared" si="13"/>
        <v>0.10690273590874774</v>
      </c>
      <c r="H144" s="8">
        <f t="shared" si="16"/>
        <v>9.382350444221526</v>
      </c>
    </row>
    <row r="145" spans="1:9" outlineLevel="1">
      <c r="A145" s="7">
        <f t="shared" si="14"/>
        <v>3.9010000000000025</v>
      </c>
      <c r="B145" s="7">
        <f t="shared" si="10"/>
        <v>96.510000000000019</v>
      </c>
      <c r="C145" s="7">
        <f t="shared" si="11"/>
        <v>129.9173076923077</v>
      </c>
      <c r="D145" s="8">
        <f t="shared" si="17"/>
        <v>1.4448148148148157</v>
      </c>
      <c r="E145" s="9">
        <f t="shared" si="12"/>
        <v>0.44405958001460066</v>
      </c>
      <c r="F145" s="7">
        <f t="shared" si="15"/>
        <v>133.21787400438021</v>
      </c>
      <c r="G145" s="9">
        <f t="shared" si="13"/>
        <v>0.10254051317003078</v>
      </c>
      <c r="H145" s="8">
        <f t="shared" si="16"/>
        <v>9.4848909573915563</v>
      </c>
    </row>
    <row r="146" spans="1:9" outlineLevel="1">
      <c r="A146" s="7">
        <f t="shared" si="14"/>
        <v>4.0010000000000021</v>
      </c>
      <c r="B146" s="7">
        <f t="shared" si="10"/>
        <v>97.510000000000019</v>
      </c>
      <c r="C146" s="7">
        <f t="shared" si="11"/>
        <v>131.26346153846154</v>
      </c>
      <c r="D146" s="8">
        <f t="shared" si="17"/>
        <v>1.4818518518518526</v>
      </c>
      <c r="E146" s="9">
        <f t="shared" si="12"/>
        <v>0.43045549675068828</v>
      </c>
      <c r="F146" s="7">
        <f t="shared" si="15"/>
        <v>129.13664902520648</v>
      </c>
      <c r="G146" s="9">
        <f t="shared" si="13"/>
        <v>9.8379737599231395E-2</v>
      </c>
      <c r="H146" s="8">
        <f t="shared" si="16"/>
        <v>9.5832706949907873</v>
      </c>
    </row>
    <row r="147" spans="1:9" outlineLevel="1">
      <c r="A147" s="7">
        <f t="shared" si="14"/>
        <v>4.1010000000000018</v>
      </c>
      <c r="B147" s="7">
        <f t="shared" si="10"/>
        <v>98.510000000000019</v>
      </c>
      <c r="C147" s="7">
        <f t="shared" si="11"/>
        <v>132.60961538461541</v>
      </c>
      <c r="D147" s="8">
        <f t="shared" si="17"/>
        <v>1.5188888888888894</v>
      </c>
      <c r="E147" s="9">
        <f t="shared" si="12"/>
        <v>0.41733074566793871</v>
      </c>
      <c r="F147" s="7">
        <f t="shared" si="15"/>
        <v>125.19922370038161</v>
      </c>
      <c r="G147" s="9">
        <f t="shared" si="13"/>
        <v>9.4411874536592985E-2</v>
      </c>
      <c r="H147" s="8">
        <f t="shared" si="16"/>
        <v>9.6776825695273807</v>
      </c>
    </row>
    <row r="148" spans="1:9" outlineLevel="1">
      <c r="A148" s="7">
        <f t="shared" si="14"/>
        <v>4.2010000000000014</v>
      </c>
      <c r="B148" s="7">
        <f t="shared" si="10"/>
        <v>99.510000000000019</v>
      </c>
      <c r="C148" s="7">
        <f t="shared" si="11"/>
        <v>133.95576923076925</v>
      </c>
      <c r="D148" s="8">
        <f t="shared" si="17"/>
        <v>1.5559259259259264</v>
      </c>
      <c r="E148" s="9">
        <f t="shared" si="12"/>
        <v>0.40467360446783274</v>
      </c>
      <c r="F148" s="7">
        <f t="shared" si="15"/>
        <v>121.40208134034982</v>
      </c>
      <c r="G148" s="9">
        <f t="shared" si="13"/>
        <v>9.0628482847354752E-2</v>
      </c>
      <c r="H148" s="8">
        <f t="shared" si="16"/>
        <v>9.7683110523747363</v>
      </c>
    </row>
    <row r="149" spans="1:9" outlineLevel="1">
      <c r="A149" s="7">
        <f t="shared" si="14"/>
        <v>4.301000000000001</v>
      </c>
      <c r="B149" s="7">
        <f t="shared" si="10"/>
        <v>100.51000000000002</v>
      </c>
      <c r="C149" s="7">
        <f t="shared" si="11"/>
        <v>135.30192307692309</v>
      </c>
      <c r="D149" s="8">
        <f t="shared" si="17"/>
        <v>1.5929629629629631</v>
      </c>
      <c r="E149" s="9">
        <f t="shared" si="12"/>
        <v>0.3924715037623473</v>
      </c>
      <c r="F149" s="7">
        <f t="shared" si="15"/>
        <v>117.74145112870418</v>
      </c>
      <c r="G149" s="9">
        <f t="shared" si="13"/>
        <v>8.7021269506838222E-2</v>
      </c>
      <c r="H149" s="8">
        <f t="shared" si="16"/>
        <v>9.8553323218815745</v>
      </c>
    </row>
    <row r="150" spans="1:9" outlineLevel="1">
      <c r="A150" s="7">
        <f t="shared" si="14"/>
        <v>4.4010000000000007</v>
      </c>
      <c r="B150" s="7">
        <f t="shared" si="10"/>
        <v>101.51</v>
      </c>
      <c r="C150" s="7">
        <f t="shared" si="11"/>
        <v>136.64807692307693</v>
      </c>
      <c r="D150" s="8">
        <f t="shared" si="17"/>
        <v>1.6300000000000001</v>
      </c>
      <c r="E150" s="9">
        <f t="shared" si="12"/>
        <v>0.38071125596546296</v>
      </c>
      <c r="F150" s="7">
        <f t="shared" si="15"/>
        <v>114.21337678963889</v>
      </c>
      <c r="G150" s="9">
        <f t="shared" si="13"/>
        <v>8.358213255641557E-2</v>
      </c>
      <c r="H150" s="8">
        <f t="shared" si="16"/>
        <v>9.9389144544379899</v>
      </c>
    </row>
    <row r="151" spans="1:9" outlineLevel="1">
      <c r="A151" s="7">
        <f t="shared" si="14"/>
        <v>4.5010000000000003</v>
      </c>
      <c r="B151" s="7">
        <f t="shared" si="10"/>
        <v>102.51</v>
      </c>
      <c r="C151" s="7">
        <f t="shared" si="11"/>
        <v>137.99423076923077</v>
      </c>
      <c r="D151" s="8">
        <f t="shared" si="17"/>
        <v>1.6670370370370371</v>
      </c>
      <c r="E151" s="9">
        <f t="shared" si="12"/>
        <v>0.36937925014026995</v>
      </c>
      <c r="F151" s="7">
        <f t="shared" si="15"/>
        <v>110.81377504208099</v>
      </c>
      <c r="G151" s="9">
        <f t="shared" si="13"/>
        <v>8.0303194143961018E-2</v>
      </c>
      <c r="H151" s="8">
        <f t="shared" si="16"/>
        <v>10.01921764858195</v>
      </c>
    </row>
    <row r="152" spans="1:9" outlineLevel="1">
      <c r="A152" s="7">
        <f t="shared" si="14"/>
        <v>4.601</v>
      </c>
      <c r="B152" s="7">
        <f t="shared" si="10"/>
        <v>103.50999999999999</v>
      </c>
      <c r="C152" s="7">
        <f t="shared" si="11"/>
        <v>139.34038461538458</v>
      </c>
      <c r="D152" s="8">
        <f t="shared" si="17"/>
        <v>1.7040740740740739</v>
      </c>
      <c r="E152" s="9">
        <f t="shared" si="12"/>
        <v>0.35846161676436317</v>
      </c>
      <c r="F152" s="7">
        <f t="shared" si="15"/>
        <v>107.53848502930894</v>
      </c>
      <c r="G152" s="9">
        <f t="shared" si="13"/>
        <v>7.7176825172503238E-2</v>
      </c>
      <c r="H152" s="8">
        <f t="shared" si="16"/>
        <v>10.096394473754453</v>
      </c>
    </row>
    <row r="153" spans="1:9" outlineLevel="1">
      <c r="A153" s="7">
        <f t="shared" si="14"/>
        <v>4.7009999999999996</v>
      </c>
      <c r="B153" s="7">
        <f t="shared" si="10"/>
        <v>104.50999999999999</v>
      </c>
      <c r="C153" s="7">
        <f t="shared" si="11"/>
        <v>140.68653846153845</v>
      </c>
      <c r="D153" s="8">
        <f t="shared" si="17"/>
        <v>1.7411111111111108</v>
      </c>
      <c r="E153" s="9">
        <f t="shared" si="12"/>
        <v>0.34794436607227475</v>
      </c>
      <c r="F153" s="7">
        <f t="shared" si="15"/>
        <v>104.38330982168242</v>
      </c>
      <c r="G153" s="9">
        <f t="shared" si="13"/>
        <v>7.4195662899346426E-2</v>
      </c>
      <c r="H153" s="8">
        <f t="shared" si="16"/>
        <v>10.170590136653798</v>
      </c>
    </row>
    <row r="154" spans="1:9" outlineLevel="1">
      <c r="A154" s="7">
        <f t="shared" si="14"/>
        <v>4.8009999999999993</v>
      </c>
      <c r="B154" s="7">
        <f t="shared" si="10"/>
        <v>105.50999999999999</v>
      </c>
      <c r="C154" s="7">
        <f t="shared" si="11"/>
        <v>142.03269230769229</v>
      </c>
      <c r="D154" s="8">
        <f t="shared" si="17"/>
        <v>1.7781481481481478</v>
      </c>
      <c r="E154" s="9">
        <f t="shared" si="12"/>
        <v>0.33781350331341709</v>
      </c>
      <c r="F154" s="7">
        <f t="shared" si="15"/>
        <v>101.34405099402512</v>
      </c>
      <c r="G154" s="9">
        <f t="shared" si="13"/>
        <v>7.1352622658506393E-2</v>
      </c>
      <c r="H154" s="8">
        <f t="shared" si="16"/>
        <v>10.241942759312305</v>
      </c>
    </row>
    <row r="155" spans="1:9" outlineLevel="1">
      <c r="A155" s="7">
        <f t="shared" si="14"/>
        <v>4.9009999999999989</v>
      </c>
      <c r="B155" s="7">
        <f t="shared" si="10"/>
        <v>106.50999999999999</v>
      </c>
      <c r="C155" s="7">
        <f t="shared" si="11"/>
        <v>143.37884615384613</v>
      </c>
      <c r="D155" s="8">
        <f t="shared" si="17"/>
        <v>1.8151851851851846</v>
      </c>
      <c r="E155" s="9">
        <f t="shared" si="12"/>
        <v>0.32805512394229397</v>
      </c>
      <c r="F155" s="7">
        <f t="shared" si="15"/>
        <v>98.416537182688188</v>
      </c>
      <c r="G155" s="9">
        <f t="shared" si="13"/>
        <v>6.8640904723899665E-2</v>
      </c>
      <c r="H155" s="8">
        <f t="shared" si="16"/>
        <v>10.310583664036205</v>
      </c>
      <c r="I155" s="5"/>
    </row>
    <row r="156" spans="1:9" outlineLevel="1">
      <c r="A156" s="7">
        <f t="shared" si="14"/>
        <v>5.0009999999999986</v>
      </c>
      <c r="B156" s="7">
        <f t="shared" si="10"/>
        <v>107.50999999999999</v>
      </c>
      <c r="C156" s="7">
        <f t="shared" si="11"/>
        <v>144.72499999999997</v>
      </c>
      <c r="D156" s="8">
        <f t="shared" si="17"/>
        <v>1.8522222222222215</v>
      </c>
      <c r="E156" s="9">
        <f t="shared" si="12"/>
        <v>0.31865549144488359</v>
      </c>
      <c r="F156" s="7">
        <f t="shared" si="15"/>
        <v>95.59664743346508</v>
      </c>
      <c r="G156" s="9">
        <f t="shared" si="13"/>
        <v>6.6053997190164179E-2</v>
      </c>
      <c r="H156" s="8">
        <f t="shared" si="16"/>
        <v>10.376637661226368</v>
      </c>
      <c r="I156" s="5"/>
    </row>
    <row r="157" spans="1:9" outlineLevel="1">
      <c r="A157" s="7">
        <f t="shared" si="14"/>
        <v>5.1009999999999982</v>
      </c>
      <c r="B157" s="7">
        <f t="shared" si="10"/>
        <v>108.50999999999999</v>
      </c>
      <c r="C157" s="7">
        <f t="shared" si="11"/>
        <v>146.07115384615383</v>
      </c>
      <c r="D157" s="8">
        <f t="shared" si="17"/>
        <v>1.8892592592592585</v>
      </c>
      <c r="E157" s="9">
        <f t="shared" si="12"/>
        <v>0.30960110020794407</v>
      </c>
      <c r="F157" s="7">
        <f t="shared" si="15"/>
        <v>92.880330062383223</v>
      </c>
      <c r="G157" s="9">
        <f t="shared" si="13"/>
        <v>6.3585675622311669E-2</v>
      </c>
      <c r="H157" s="8">
        <f t="shared" si="16"/>
        <v>10.44022333684868</v>
      </c>
      <c r="I157" s="5"/>
    </row>
    <row r="158" spans="1:9" outlineLevel="1">
      <c r="A158" s="7">
        <f t="shared" si="14"/>
        <v>5.2009999999999978</v>
      </c>
      <c r="B158" s="7">
        <f t="shared" si="10"/>
        <v>109.50999999999998</v>
      </c>
      <c r="C158" s="7">
        <f t="shared" si="11"/>
        <v>147.41730769230765</v>
      </c>
      <c r="D158" s="8">
        <f t="shared" si="17"/>
        <v>1.9262962962962953</v>
      </c>
      <c r="E158" s="9">
        <f t="shared" si="12"/>
        <v>0.30087872556067041</v>
      </c>
      <c r="F158" s="7">
        <f t="shared" si="15"/>
        <v>90.263617668201121</v>
      </c>
      <c r="G158" s="9">
        <f t="shared" si="13"/>
        <v>6.123000011409864E-2</v>
      </c>
      <c r="H158" s="8">
        <f t="shared" si="16"/>
        <v>10.501453336962779</v>
      </c>
      <c r="I158" s="5"/>
    </row>
    <row r="159" spans="1:9" outlineLevel="1">
      <c r="A159" s="7">
        <f t="shared" si="14"/>
        <v>5.3009999999999975</v>
      </c>
      <c r="B159" s="7">
        <f t="shared" si="10"/>
        <v>110.50999999999998</v>
      </c>
      <c r="C159" s="7">
        <f t="shared" si="11"/>
        <v>148.76346153846148</v>
      </c>
      <c r="D159" s="8">
        <f t="shared" si="17"/>
        <v>1.9633333333333323</v>
      </c>
      <c r="E159" s="9">
        <f t="shared" si="12"/>
        <v>0.29247546286292292</v>
      </c>
      <c r="F159" s="7">
        <f t="shared" si="15"/>
        <v>87.742638858876873</v>
      </c>
      <c r="G159" s="9">
        <f t="shared" si="13"/>
        <v>5.8981310297214214E-2</v>
      </c>
      <c r="H159" s="8">
        <f t="shared" si="16"/>
        <v>10.560434647259994</v>
      </c>
      <c r="I159" s="5"/>
    </row>
    <row r="160" spans="1:9" outlineLevel="1">
      <c r="A160" s="7">
        <f t="shared" si="14"/>
        <v>5.4009999999999971</v>
      </c>
      <c r="B160" s="7">
        <f t="shared" si="10"/>
        <v>111.50999999999996</v>
      </c>
      <c r="C160" s="7">
        <f t="shared" si="11"/>
        <v>150.10961538461532</v>
      </c>
      <c r="D160" s="8">
        <f t="shared" si="17"/>
        <v>2.0003703703703692</v>
      </c>
      <c r="E160" s="9">
        <f t="shared" si="12"/>
        <v>0.28437875728194972</v>
      </c>
      <c r="F160" s="7">
        <f t="shared" si="15"/>
        <v>85.313627184584917</v>
      </c>
      <c r="G160" s="9">
        <f t="shared" si="13"/>
        <v>5.6834218758066768E-2</v>
      </c>
      <c r="H160" s="8">
        <f t="shared" si="16"/>
        <v>10.61726886601806</v>
      </c>
      <c r="I160" s="5"/>
    </row>
    <row r="161" spans="1:9">
      <c r="A161" s="7"/>
      <c r="B161" s="7"/>
      <c r="C161" s="7"/>
      <c r="D161" s="8"/>
      <c r="E161" s="9"/>
      <c r="F161" s="7"/>
      <c r="G161" s="9"/>
      <c r="H161" s="8"/>
      <c r="I161" s="5"/>
    </row>
    <row r="162" spans="1:9">
      <c r="A162" s="7"/>
      <c r="B162" s="7"/>
      <c r="C162" s="7"/>
      <c r="D162" s="8"/>
      <c r="E162" s="9"/>
      <c r="F162" s="7"/>
      <c r="G162" s="9"/>
      <c r="H162" s="8"/>
      <c r="I162" s="5"/>
    </row>
    <row r="163" spans="1:9">
      <c r="A163" s="7"/>
      <c r="B163" s="7"/>
      <c r="C163" s="7"/>
      <c r="D163" s="8"/>
      <c r="E163" s="9"/>
      <c r="F163" s="7"/>
      <c r="G163" s="9"/>
      <c r="H163" s="8"/>
      <c r="I163" s="5"/>
    </row>
    <row r="164" spans="1:9">
      <c r="A164" s="7"/>
      <c r="B164" s="7"/>
      <c r="C164" s="7"/>
      <c r="D164" s="8"/>
      <c r="E164" s="9"/>
      <c r="F164" s="7"/>
      <c r="G164" s="9"/>
      <c r="H164" s="8"/>
      <c r="I164" s="5"/>
    </row>
    <row r="165" spans="1:9">
      <c r="A165" s="7"/>
      <c r="B165" s="7"/>
      <c r="C165" s="7"/>
      <c r="D165" s="8"/>
      <c r="E165" s="9"/>
      <c r="F165" s="7"/>
      <c r="G165" s="9"/>
      <c r="H165" s="8"/>
      <c r="I165" s="5"/>
    </row>
    <row r="166" spans="1:9">
      <c r="A166" s="7"/>
      <c r="B166" s="7"/>
      <c r="C166" s="7"/>
      <c r="D166" s="8"/>
      <c r="E166" s="9"/>
      <c r="F166" s="7"/>
      <c r="G166" s="9"/>
      <c r="H166" s="8"/>
      <c r="I166" s="5"/>
    </row>
    <row r="167" spans="1:9">
      <c r="A167" s="7"/>
      <c r="B167" s="7"/>
      <c r="C167" s="7"/>
      <c r="D167" s="8"/>
      <c r="E167" s="9"/>
      <c r="F167" s="7"/>
      <c r="G167" s="9"/>
      <c r="H167" s="8"/>
      <c r="I167" s="5"/>
    </row>
    <row r="168" spans="1:9">
      <c r="A168" s="7"/>
      <c r="B168" s="7"/>
      <c r="C168" s="7"/>
      <c r="D168" s="8"/>
      <c r="E168" s="9"/>
      <c r="F168" s="7"/>
      <c r="G168" s="9"/>
      <c r="H168" s="8"/>
      <c r="I168" s="5"/>
    </row>
    <row r="169" spans="1:9">
      <c r="A169" s="7"/>
      <c r="B169" s="7"/>
      <c r="C169" s="7"/>
      <c r="D169" s="8"/>
      <c r="E169" s="9"/>
      <c r="F169" s="7"/>
      <c r="G169" s="9"/>
      <c r="H169" s="8"/>
      <c r="I169" s="5"/>
    </row>
    <row r="170" spans="1:9">
      <c r="A170" s="7"/>
      <c r="B170" s="7"/>
      <c r="C170" s="7"/>
      <c r="D170" s="8"/>
      <c r="E170" s="9"/>
      <c r="F170" s="7"/>
      <c r="G170" s="9"/>
      <c r="H170" s="8"/>
      <c r="I170" s="5"/>
    </row>
    <row r="171" spans="1:9">
      <c r="A171" s="7"/>
      <c r="B171" s="7"/>
      <c r="C171" s="7"/>
      <c r="D171" s="8"/>
      <c r="E171" s="9"/>
      <c r="F171" s="7"/>
      <c r="G171" s="9"/>
      <c r="H171" s="8"/>
      <c r="I171" s="5"/>
    </row>
    <row r="172" spans="1:9">
      <c r="A172" s="7"/>
      <c r="B172" s="7"/>
      <c r="C172" s="7"/>
      <c r="D172" s="8"/>
      <c r="E172" s="9"/>
      <c r="F172" s="7"/>
      <c r="G172" s="9"/>
      <c r="H172" s="8"/>
      <c r="I172" s="5"/>
    </row>
  </sheetData>
  <pageMargins left="0.7" right="0.7" top="0.75" bottom="0.75" header="0.3" footer="0.3"/>
  <pageSetup paperSize="9" scale="45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3D449-1253-984E-9AAF-22403E29E418}">
  <dimension ref="A1:Q74"/>
  <sheetViews>
    <sheetView topLeftCell="A58" workbookViewId="0">
      <selection activeCell="K15" sqref="K15"/>
    </sheetView>
  </sheetViews>
  <sheetFormatPr baseColWidth="10" defaultColWidth="11" defaultRowHeight="15.5"/>
  <sheetData>
    <row r="1" spans="1:12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24</v>
      </c>
      <c r="E2" t="s">
        <v>54</v>
      </c>
    </row>
    <row r="3" spans="1:12">
      <c r="A3" s="2"/>
    </row>
    <row r="4" spans="1:12">
      <c r="E4">
        <v>10</v>
      </c>
    </row>
    <row r="5" spans="1:12" ht="16" thickBot="1">
      <c r="C5" s="6">
        <v>30</v>
      </c>
      <c r="E5" t="s">
        <v>55</v>
      </c>
    </row>
    <row r="6" spans="1:12">
      <c r="B6" s="26"/>
      <c r="C6" s="27"/>
      <c r="D6" s="28"/>
    </row>
    <row r="7" spans="1:12" ht="16" thickBot="1">
      <c r="A7" s="6">
        <v>10</v>
      </c>
      <c r="B7" s="29"/>
      <c r="C7" s="6" t="s">
        <v>56</v>
      </c>
      <c r="D7" s="30"/>
      <c r="E7">
        <v>10</v>
      </c>
      <c r="H7" s="34"/>
      <c r="I7" s="35"/>
      <c r="J7" s="35"/>
      <c r="K7" s="35"/>
      <c r="L7" s="34"/>
    </row>
    <row r="8" spans="1:12" ht="16" thickTop="1">
      <c r="B8" s="29"/>
      <c r="D8" s="30"/>
    </row>
    <row r="9" spans="1:12" ht="16" thickBot="1">
      <c r="B9" s="31"/>
      <c r="C9" s="32"/>
      <c r="D9" s="33"/>
      <c r="L9" t="s">
        <v>57</v>
      </c>
    </row>
    <row r="10" spans="1:12">
      <c r="E10" t="s">
        <v>2</v>
      </c>
    </row>
    <row r="11" spans="1:12">
      <c r="E11">
        <v>10</v>
      </c>
    </row>
    <row r="14" spans="1:12">
      <c r="E14" t="s">
        <v>58</v>
      </c>
    </row>
    <row r="16" spans="1:12">
      <c r="A16" s="2" t="s">
        <v>59</v>
      </c>
    </row>
    <row r="18" spans="1:17">
      <c r="A18" t="s">
        <v>60</v>
      </c>
      <c r="B18" t="s">
        <v>61</v>
      </c>
    </row>
    <row r="31" spans="1:17">
      <c r="Q31">
        <v>24</v>
      </c>
    </row>
    <row r="33" spans="3:5" ht="16" thickBot="1"/>
    <row r="34" spans="3:5">
      <c r="C34" s="26" t="s">
        <v>11</v>
      </c>
      <c r="D34" s="27">
        <v>50</v>
      </c>
      <c r="E34" s="28" t="s">
        <v>12</v>
      </c>
    </row>
    <row r="35" spans="3:5">
      <c r="C35" s="29" t="s">
        <v>62</v>
      </c>
      <c r="D35">
        <v>3</v>
      </c>
      <c r="E35" s="30"/>
    </row>
    <row r="36" spans="3:5" ht="16" thickBot="1">
      <c r="C36" s="36" t="s">
        <v>63</v>
      </c>
      <c r="D36" s="32">
        <f>0.005*D35*D34</f>
        <v>0.75</v>
      </c>
      <c r="E36" s="33" t="s">
        <v>12</v>
      </c>
    </row>
    <row r="71" spans="3:5" ht="16" thickBot="1"/>
    <row r="72" spans="3:5">
      <c r="C72" s="26" t="s">
        <v>11</v>
      </c>
      <c r="D72" s="27">
        <v>50</v>
      </c>
      <c r="E72" s="28" t="s">
        <v>12</v>
      </c>
    </row>
    <row r="73" spans="3:5">
      <c r="C73" s="29" t="s">
        <v>62</v>
      </c>
      <c r="D73">
        <v>36</v>
      </c>
      <c r="E73" s="30"/>
    </row>
    <row r="74" spans="3:5" ht="16" thickBot="1">
      <c r="C74" s="36" t="s">
        <v>64</v>
      </c>
      <c r="D74" s="32">
        <f>0.005*D73*D72</f>
        <v>9</v>
      </c>
      <c r="E74" s="33" t="s">
        <v>12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118AC-8A32-2C4C-BE67-7E21835B9675}">
  <sheetPr>
    <pageSetUpPr fitToPage="1"/>
  </sheetPr>
  <dimension ref="A1:L68"/>
  <sheetViews>
    <sheetView topLeftCell="A37" zoomScale="94" workbookViewId="0">
      <selection activeCell="F71" sqref="F71"/>
    </sheetView>
  </sheetViews>
  <sheetFormatPr baseColWidth="10" defaultColWidth="11" defaultRowHeight="15.5" outlineLevelRow="1"/>
  <cols>
    <col min="1" max="1" width="13" customWidth="1"/>
    <col min="13" max="13" width="6.75" customWidth="1"/>
  </cols>
  <sheetData>
    <row r="1" spans="1:10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24</v>
      </c>
    </row>
    <row r="3" spans="1:10" outlineLevel="1">
      <c r="A3" t="s">
        <v>26</v>
      </c>
      <c r="B3">
        <v>15</v>
      </c>
      <c r="C3" t="s">
        <v>3</v>
      </c>
      <c r="D3" t="s">
        <v>66</v>
      </c>
      <c r="E3">
        <v>15</v>
      </c>
      <c r="F3" t="s">
        <v>3</v>
      </c>
      <c r="G3" s="4" t="s">
        <v>67</v>
      </c>
      <c r="H3">
        <v>0.3</v>
      </c>
    </row>
    <row r="4" spans="1:10" outlineLevel="1">
      <c r="A4" t="s">
        <v>68</v>
      </c>
      <c r="B4">
        <v>60</v>
      </c>
      <c r="C4" t="s">
        <v>12</v>
      </c>
      <c r="D4" t="s">
        <v>69</v>
      </c>
      <c r="E4">
        <v>15</v>
      </c>
      <c r="F4" t="s">
        <v>3</v>
      </c>
      <c r="G4" s="4" t="s">
        <v>70</v>
      </c>
      <c r="H4">
        <v>0.4</v>
      </c>
    </row>
    <row r="5" spans="1:10" outlineLevel="1">
      <c r="A5" t="s">
        <v>71</v>
      </c>
      <c r="B5">
        <v>90</v>
      </c>
      <c r="C5" t="s">
        <v>12</v>
      </c>
      <c r="D5" t="s">
        <v>72</v>
      </c>
      <c r="E5">
        <v>50</v>
      </c>
      <c r="F5" t="s">
        <v>31</v>
      </c>
    </row>
    <row r="6" spans="1:10" outlineLevel="1">
      <c r="A6" t="s">
        <v>73</v>
      </c>
      <c r="B6">
        <v>30</v>
      </c>
      <c r="C6" t="s">
        <v>12</v>
      </c>
      <c r="D6" t="s">
        <v>74</v>
      </c>
      <c r="E6">
        <v>100</v>
      </c>
      <c r="F6" t="s">
        <v>31</v>
      </c>
    </row>
    <row r="8" spans="1:10">
      <c r="A8" s="2" t="s">
        <v>75</v>
      </c>
    </row>
    <row r="9" spans="1:10" outlineLevel="1">
      <c r="A9" t="s">
        <v>76</v>
      </c>
      <c r="B9" s="63">
        <f>+E5*(1-$H$3)/(1+$H$3)/(1-2*$H$3)</f>
        <v>67.307692307692307</v>
      </c>
      <c r="C9" t="s">
        <v>31</v>
      </c>
    </row>
    <row r="10" spans="1:10" outlineLevel="1">
      <c r="A10" t="s">
        <v>77</v>
      </c>
      <c r="B10" s="63">
        <f>+E6*(1-$H$4)/(1+$H$4)/(1-2*$H$4)</f>
        <v>214.28571428571436</v>
      </c>
      <c r="C10" t="s">
        <v>31</v>
      </c>
    </row>
    <row r="11" spans="1:10" outlineLevel="1"/>
    <row r="12" spans="1:10" outlineLevel="1">
      <c r="A12" s="221" t="s">
        <v>78</v>
      </c>
      <c r="B12" s="64" t="s">
        <v>79</v>
      </c>
      <c r="C12" s="64" t="s">
        <v>80</v>
      </c>
      <c r="D12" s="64" t="s">
        <v>81</v>
      </c>
      <c r="E12" s="64" t="s">
        <v>82</v>
      </c>
      <c r="F12" s="55" t="s">
        <v>83</v>
      </c>
    </row>
    <row r="13" spans="1:10" outlineLevel="1">
      <c r="A13" s="222"/>
      <c r="B13" s="6" t="s">
        <v>53</v>
      </c>
      <c r="C13" s="6" t="s">
        <v>53</v>
      </c>
      <c r="D13" s="6" t="s">
        <v>47</v>
      </c>
      <c r="E13" s="6" t="s">
        <v>47</v>
      </c>
      <c r="F13" s="56" t="s">
        <v>47</v>
      </c>
    </row>
    <row r="14" spans="1:10" outlineLevel="1">
      <c r="A14" s="65" t="s">
        <v>84</v>
      </c>
      <c r="B14" s="66">
        <f>+'ej 1.4 - newmark'!F45</f>
        <v>20.849999999999998</v>
      </c>
      <c r="C14" s="66">
        <f>+'ej 1.4 - newmark'!Q45</f>
        <v>13.950000000000001</v>
      </c>
      <c r="D14" s="16">
        <f>+$E$3*B14/$B$9</f>
        <v>4.6465714285714279</v>
      </c>
      <c r="E14" s="16">
        <f>+$E$4*C14/$B$10</f>
        <v>0.97649999999999981</v>
      </c>
      <c r="F14" s="57">
        <f>+D14+E14</f>
        <v>5.6230714285714276</v>
      </c>
    </row>
    <row r="15" spans="1:10" outlineLevel="1">
      <c r="A15" s="67" t="s">
        <v>85</v>
      </c>
      <c r="B15" s="68">
        <f>+'ej 1.4 - newmark'!F46</f>
        <v>50.85</v>
      </c>
      <c r="C15" s="68">
        <f>+'ej 1.4 - newmark'!Q46</f>
        <v>23.4</v>
      </c>
      <c r="D15" s="7">
        <f t="shared" ref="D15:D16" si="0">+$E$3*B15/$B$9</f>
        <v>11.332285714285714</v>
      </c>
      <c r="E15" s="7">
        <f t="shared" ref="E15:E16" si="1">+$E$4*C15/$B$10</f>
        <v>1.6379999999999995</v>
      </c>
      <c r="F15" s="58">
        <f t="shared" ref="F15:F16" si="2">+D15+E15</f>
        <v>12.970285714285714</v>
      </c>
    </row>
    <row r="16" spans="1:10" outlineLevel="1">
      <c r="A16" s="69" t="s">
        <v>86</v>
      </c>
      <c r="B16" s="70">
        <f>+'ej 1.4 - newmark'!F47</f>
        <v>66</v>
      </c>
      <c r="C16" s="70">
        <f>+'ej 1.4 - newmark'!Q47</f>
        <v>24.75</v>
      </c>
      <c r="D16" s="14">
        <f t="shared" si="0"/>
        <v>14.708571428571428</v>
      </c>
      <c r="E16" s="14">
        <f t="shared" si="1"/>
        <v>1.7324999999999995</v>
      </c>
      <c r="F16" s="59">
        <f t="shared" si="2"/>
        <v>16.441071428571426</v>
      </c>
    </row>
    <row r="17" spans="1:11" outlineLevel="1"/>
    <row r="18" spans="1:11">
      <c r="A18" s="2" t="s">
        <v>87</v>
      </c>
    </row>
    <row r="20" spans="1:11" outlineLevel="1">
      <c r="I20" t="s">
        <v>88</v>
      </c>
    </row>
    <row r="21" spans="1:11" outlineLevel="1">
      <c r="C21" t="s">
        <v>89</v>
      </c>
      <c r="F21" t="s">
        <v>90</v>
      </c>
    </row>
    <row r="22" spans="1:11" outlineLevel="1"/>
    <row r="23" spans="1:11" outlineLevel="1">
      <c r="A23" s="2" t="s">
        <v>84</v>
      </c>
      <c r="B23" s="6">
        <v>2</v>
      </c>
      <c r="C23" s="6" t="s">
        <v>91</v>
      </c>
      <c r="E23" s="6">
        <v>2</v>
      </c>
      <c r="F23" s="6" t="s">
        <v>92</v>
      </c>
      <c r="G23" s="6"/>
      <c r="H23" s="73">
        <v>1</v>
      </c>
      <c r="I23" s="6" t="s">
        <v>93</v>
      </c>
      <c r="K23" s="6"/>
    </row>
    <row r="24" spans="1:11" outlineLevel="1"/>
    <row r="25" spans="1:11" outlineLevel="1"/>
    <row r="26" spans="1:11" outlineLevel="1"/>
    <row r="27" spans="1:11" outlineLevel="1"/>
    <row r="28" spans="1:11" outlineLevel="1">
      <c r="C28" t="s">
        <v>94</v>
      </c>
    </row>
    <row r="29" spans="1:11" outlineLevel="1">
      <c r="F29" t="s">
        <v>89</v>
      </c>
      <c r="I29" t="s">
        <v>90</v>
      </c>
    </row>
    <row r="30" spans="1:11" outlineLevel="1"/>
    <row r="31" spans="1:11" outlineLevel="1">
      <c r="B31" s="6">
        <v>1</v>
      </c>
      <c r="C31" s="6" t="s">
        <v>92</v>
      </c>
      <c r="D31" s="6"/>
      <c r="E31" s="6">
        <v>1</v>
      </c>
      <c r="F31" s="6" t="s">
        <v>92</v>
      </c>
      <c r="H31" s="6">
        <v>1</v>
      </c>
      <c r="I31" s="6" t="s">
        <v>93</v>
      </c>
    </row>
    <row r="32" spans="1:11" outlineLevel="1"/>
    <row r="33" spans="1:12" outlineLevel="1"/>
    <row r="34" spans="1:12" outlineLevel="1"/>
    <row r="35" spans="1:12" outlineLevel="1"/>
    <row r="36" spans="1:12" outlineLevel="1"/>
    <row r="37" spans="1:12" outlineLevel="1">
      <c r="C37" t="s">
        <v>90</v>
      </c>
      <c r="F37" t="s">
        <v>90</v>
      </c>
      <c r="I37" t="s">
        <v>94</v>
      </c>
      <c r="L37" t="s">
        <v>90</v>
      </c>
    </row>
    <row r="38" spans="1:12" outlineLevel="1"/>
    <row r="39" spans="1:12" outlineLevel="1">
      <c r="A39" s="2" t="s">
        <v>85</v>
      </c>
      <c r="B39" s="6">
        <v>4</v>
      </c>
      <c r="C39" s="6" t="s">
        <v>91</v>
      </c>
      <c r="E39" s="6">
        <v>2</v>
      </c>
      <c r="F39" s="6" t="s">
        <v>92</v>
      </c>
      <c r="H39" s="6">
        <v>1</v>
      </c>
      <c r="I39" s="6" t="s">
        <v>93</v>
      </c>
      <c r="K39" s="6">
        <v>1</v>
      </c>
      <c r="L39" s="6" t="s">
        <v>92</v>
      </c>
    </row>
    <row r="40" spans="1:12" outlineLevel="1"/>
    <row r="41" spans="1:12" outlineLevel="1"/>
    <row r="42" spans="1:12" outlineLevel="1"/>
    <row r="43" spans="1:12" outlineLevel="1">
      <c r="A43" s="65" t="s">
        <v>36</v>
      </c>
      <c r="B43" s="40">
        <v>8</v>
      </c>
    </row>
    <row r="44" spans="1:12" outlineLevel="1">
      <c r="A44" s="65" t="s">
        <v>95</v>
      </c>
      <c r="B44" s="12" t="s">
        <v>96</v>
      </c>
      <c r="C44" s="12" t="s">
        <v>97</v>
      </c>
      <c r="D44" s="12" t="s">
        <v>15</v>
      </c>
      <c r="E44" s="12" t="s">
        <v>3</v>
      </c>
      <c r="F44" s="40" t="s">
        <v>98</v>
      </c>
      <c r="G44" s="60" t="s">
        <v>11</v>
      </c>
    </row>
    <row r="45" spans="1:12" outlineLevel="1">
      <c r="A45" s="67" t="s">
        <v>89</v>
      </c>
      <c r="B45" s="6">
        <v>30</v>
      </c>
      <c r="C45" s="6">
        <v>7.5</v>
      </c>
      <c r="D45" s="7">
        <f>+B45/$B$43</f>
        <v>3.75</v>
      </c>
      <c r="E45" s="7">
        <f>+C45/$B$43</f>
        <v>0.9375</v>
      </c>
      <c r="F45" s="43">
        <v>0.2</v>
      </c>
      <c r="G45" s="71">
        <v>90</v>
      </c>
    </row>
    <row r="46" spans="1:12" outlineLevel="1">
      <c r="A46" s="67" t="s">
        <v>90</v>
      </c>
      <c r="B46" s="6">
        <v>15</v>
      </c>
      <c r="C46" s="6">
        <v>7.5</v>
      </c>
      <c r="D46" s="7">
        <f t="shared" ref="D46:D48" si="3">+B46/$B$43</f>
        <v>1.875</v>
      </c>
      <c r="E46" s="7">
        <f t="shared" ref="E46:E48" si="4">+C46/$B$43</f>
        <v>0.9375</v>
      </c>
      <c r="F46" s="43">
        <v>0.19</v>
      </c>
      <c r="G46" s="71">
        <v>-30</v>
      </c>
    </row>
    <row r="47" spans="1:12" outlineLevel="1">
      <c r="A47" s="67" t="s">
        <v>88</v>
      </c>
      <c r="B47" s="6">
        <v>30</v>
      </c>
      <c r="C47" s="6">
        <v>22.5</v>
      </c>
      <c r="D47" s="7">
        <f t="shared" si="3"/>
        <v>3.75</v>
      </c>
      <c r="E47" s="7">
        <f t="shared" si="4"/>
        <v>2.8125</v>
      </c>
      <c r="F47" s="43">
        <v>0.24</v>
      </c>
      <c r="G47" s="71">
        <v>30</v>
      </c>
    </row>
    <row r="48" spans="1:12" outlineLevel="1">
      <c r="A48" s="69" t="s">
        <v>94</v>
      </c>
      <c r="B48" s="41">
        <v>22.5</v>
      </c>
      <c r="C48" s="41">
        <v>15</v>
      </c>
      <c r="D48" s="14">
        <f t="shared" si="3"/>
        <v>2.8125</v>
      </c>
      <c r="E48" s="14">
        <f t="shared" si="4"/>
        <v>1.875</v>
      </c>
      <c r="F48" s="42">
        <v>0.23</v>
      </c>
      <c r="G48" s="72">
        <v>-30</v>
      </c>
    </row>
    <row r="49" spans="1:7" outlineLevel="1">
      <c r="G49" s="6"/>
    </row>
    <row r="50" spans="1:7" outlineLevel="1">
      <c r="A50" s="65" t="s">
        <v>36</v>
      </c>
      <c r="B50" s="40">
        <v>23</v>
      </c>
      <c r="G50" s="6"/>
    </row>
    <row r="51" spans="1:7" outlineLevel="1">
      <c r="A51" s="65" t="s">
        <v>95</v>
      </c>
      <c r="B51" s="12" t="s">
        <v>96</v>
      </c>
      <c r="C51" s="12" t="s">
        <v>97</v>
      </c>
      <c r="D51" s="12" t="s">
        <v>15</v>
      </c>
      <c r="E51" s="12" t="s">
        <v>3</v>
      </c>
      <c r="F51" s="40" t="s">
        <v>98</v>
      </c>
      <c r="G51" s="60" t="s">
        <v>11</v>
      </c>
    </row>
    <row r="52" spans="1:7" outlineLevel="1">
      <c r="A52" s="67" t="s">
        <v>89</v>
      </c>
      <c r="B52" s="6">
        <v>30</v>
      </c>
      <c r="C52" s="6">
        <v>7.5</v>
      </c>
      <c r="D52" s="7">
        <f>+B52/$B$50</f>
        <v>1.3043478260869565</v>
      </c>
      <c r="E52" s="7">
        <f>+C52/$B$50</f>
        <v>0.32608695652173914</v>
      </c>
      <c r="F52" s="43">
        <v>0.09</v>
      </c>
      <c r="G52" s="71">
        <v>90</v>
      </c>
    </row>
    <row r="53" spans="1:7" outlineLevel="1">
      <c r="A53" s="67" t="s">
        <v>90</v>
      </c>
      <c r="B53" s="6">
        <v>15</v>
      </c>
      <c r="C53" s="6">
        <v>7.5</v>
      </c>
      <c r="D53" s="7">
        <f t="shared" ref="D53:D55" si="5">+B53/$B$50</f>
        <v>0.65217391304347827</v>
      </c>
      <c r="E53" s="7">
        <f t="shared" ref="E53:E55" si="6">+C53/$B$50</f>
        <v>0.32608695652173914</v>
      </c>
      <c r="F53" s="43">
        <v>7.0000000000000007E-2</v>
      </c>
      <c r="G53" s="71">
        <v>-30</v>
      </c>
    </row>
    <row r="54" spans="1:7" outlineLevel="1">
      <c r="A54" s="67" t="s">
        <v>88</v>
      </c>
      <c r="B54" s="6">
        <v>30</v>
      </c>
      <c r="C54" s="6">
        <v>22.5</v>
      </c>
      <c r="D54" s="7">
        <f t="shared" si="5"/>
        <v>1.3043478260869565</v>
      </c>
      <c r="E54" s="7">
        <f t="shared" si="6"/>
        <v>0.97826086956521741</v>
      </c>
      <c r="F54" s="43">
        <v>0.19</v>
      </c>
      <c r="G54" s="71">
        <v>30</v>
      </c>
    </row>
    <row r="55" spans="1:7" outlineLevel="1">
      <c r="A55" s="69" t="s">
        <v>94</v>
      </c>
      <c r="B55" s="41">
        <v>22.5</v>
      </c>
      <c r="C55" s="41">
        <v>15</v>
      </c>
      <c r="D55" s="14">
        <f t="shared" si="5"/>
        <v>0.97826086956521741</v>
      </c>
      <c r="E55" s="14">
        <f t="shared" si="6"/>
        <v>0.65217391304347827</v>
      </c>
      <c r="F55" s="42">
        <v>0.15</v>
      </c>
      <c r="G55" s="72">
        <v>-30</v>
      </c>
    </row>
    <row r="56" spans="1:7" outlineLevel="1"/>
    <row r="57" spans="1:7" outlineLevel="1"/>
    <row r="58" spans="1:7" outlineLevel="1">
      <c r="A58" s="221" t="s">
        <v>78</v>
      </c>
      <c r="B58" s="64" t="s">
        <v>79</v>
      </c>
      <c r="C58" s="64" t="s">
        <v>80</v>
      </c>
      <c r="D58" s="64" t="s">
        <v>81</v>
      </c>
      <c r="E58" s="64" t="s">
        <v>82</v>
      </c>
      <c r="F58" s="55" t="s">
        <v>83</v>
      </c>
    </row>
    <row r="59" spans="1:7" outlineLevel="1">
      <c r="A59" s="222"/>
      <c r="B59" s="6" t="s">
        <v>53</v>
      </c>
      <c r="C59" s="6" t="s">
        <v>53</v>
      </c>
      <c r="D59" s="6" t="s">
        <v>47</v>
      </c>
      <c r="E59" s="6" t="s">
        <v>47</v>
      </c>
      <c r="F59" s="56" t="s">
        <v>47</v>
      </c>
    </row>
    <row r="60" spans="1:7" outlineLevel="1">
      <c r="A60" s="65" t="s">
        <v>84</v>
      </c>
      <c r="B60" s="66">
        <f>2*G45*F45+2*G46*F46+G47*F47+G48*F48+G48*F45+G47*F46</f>
        <v>24.599999999999998</v>
      </c>
      <c r="C60" s="66">
        <f>2*G52*F52+2*G53*F53+1*G54*F54+1*G55*F55+1*G53*F52+1*G54*F53</f>
        <v>12.6</v>
      </c>
      <c r="D60" s="16">
        <f>+$E$3*B60/$B$9</f>
        <v>5.4822857142857133</v>
      </c>
      <c r="E60" s="16">
        <f>+$E$4*C60/$B$10</f>
        <v>0.88199999999999967</v>
      </c>
      <c r="F60" s="57">
        <f>+D60+E60</f>
        <v>6.364285714285713</v>
      </c>
    </row>
    <row r="61" spans="1:7" outlineLevel="1">
      <c r="A61" s="69" t="s">
        <v>85</v>
      </c>
      <c r="B61" s="70">
        <f>4*G45*F46+2*G46*F46+G47*F48+G48*F46</f>
        <v>58.2</v>
      </c>
      <c r="C61" s="70">
        <f>4*G52*F53+2*G53*F53+1*G54*F55+1*G55*F53</f>
        <v>23.400000000000002</v>
      </c>
      <c r="D61" s="14">
        <f t="shared" ref="D61" si="7">+$E$3*B61/$B$9</f>
        <v>12.970285714285714</v>
      </c>
      <c r="E61" s="14">
        <f t="shared" ref="E61" si="8">+$E$4*C61/$B$10</f>
        <v>1.6379999999999997</v>
      </c>
      <c r="F61" s="59">
        <f t="shared" ref="F61" si="9">+D61+E61</f>
        <v>14.608285714285714</v>
      </c>
    </row>
    <row r="62" spans="1:7" outlineLevel="1"/>
    <row r="63" spans="1:7" outlineLevel="1"/>
    <row r="64" spans="1:7" outlineLevel="1"/>
    <row r="65" outlineLevel="1"/>
    <row r="66" outlineLevel="1"/>
    <row r="67" outlineLevel="1"/>
    <row r="68" outlineLevel="1"/>
  </sheetData>
  <mergeCells count="2">
    <mergeCell ref="A12:A13"/>
    <mergeCell ref="A58:A59"/>
  </mergeCells>
  <phoneticPr fontId="7" type="noConversion"/>
  <pageMargins left="0.7" right="0.7" top="0.75" bottom="0.75" header="0.3" footer="0.3"/>
  <pageSetup paperSize="9" scale="62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075D6-D933-4A44-B981-0E692D930186}">
  <sheetPr>
    <pageSetUpPr fitToPage="1"/>
  </sheetPr>
  <dimension ref="A1:Q48"/>
  <sheetViews>
    <sheetView showGridLines="0" topLeftCell="A28" zoomScale="66" workbookViewId="0">
      <selection activeCell="U25" sqref="U25"/>
    </sheetView>
  </sheetViews>
  <sheetFormatPr baseColWidth="10" defaultColWidth="11" defaultRowHeight="15.5"/>
  <sheetData>
    <row r="1" spans="1:10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99</v>
      </c>
    </row>
    <row r="42" spans="2:17" ht="16" thickBot="1">
      <c r="C42" t="s">
        <v>100</v>
      </c>
    </row>
    <row r="43" spans="2:17">
      <c r="B43" s="52" t="s">
        <v>101</v>
      </c>
      <c r="C43" s="53">
        <v>60</v>
      </c>
      <c r="D43" s="53">
        <v>90</v>
      </c>
      <c r="E43" s="54">
        <v>30</v>
      </c>
      <c r="F43" s="223" t="s">
        <v>102</v>
      </c>
      <c r="M43" s="52" t="s">
        <v>101</v>
      </c>
      <c r="N43" s="53">
        <v>60</v>
      </c>
      <c r="O43" s="53">
        <v>90</v>
      </c>
      <c r="P43" s="54">
        <v>30</v>
      </c>
      <c r="Q43" s="223" t="s">
        <v>102</v>
      </c>
    </row>
    <row r="44" spans="2:17">
      <c r="B44" s="44"/>
      <c r="C44" s="41" t="s">
        <v>103</v>
      </c>
      <c r="D44" s="41" t="s">
        <v>104</v>
      </c>
      <c r="E44" s="42" t="s">
        <v>105</v>
      </c>
      <c r="F44" s="224"/>
      <c r="M44" s="44"/>
      <c r="N44" s="41" t="s">
        <v>103</v>
      </c>
      <c r="O44" s="41" t="s">
        <v>104</v>
      </c>
      <c r="P44" s="42" t="s">
        <v>105</v>
      </c>
      <c r="Q44" s="224"/>
    </row>
    <row r="45" spans="2:17">
      <c r="B45" s="45" t="s">
        <v>84</v>
      </c>
      <c r="C45" s="12">
        <f>2*33</f>
        <v>66</v>
      </c>
      <c r="D45" s="12">
        <v>2</v>
      </c>
      <c r="E45" s="40">
        <v>1</v>
      </c>
      <c r="F45" s="50">
        <f>+(C45/200)*$C$43+(D45/200)*$D$43+(E45/200)*$E$43</f>
        <v>20.849999999999998</v>
      </c>
      <c r="M45" s="45" t="s">
        <v>84</v>
      </c>
      <c r="N45" s="12">
        <v>30</v>
      </c>
      <c r="O45" s="12">
        <v>9</v>
      </c>
      <c r="P45" s="40">
        <v>6</v>
      </c>
      <c r="Q45" s="50">
        <f>+(N45/200)*$C$43+(O45/200)*$D$43+(P45/200)*$E$43</f>
        <v>13.950000000000001</v>
      </c>
    </row>
    <row r="46" spans="2:17">
      <c r="B46" s="46" t="s">
        <v>85</v>
      </c>
      <c r="C46" s="6">
        <v>66</v>
      </c>
      <c r="D46" s="6">
        <v>66</v>
      </c>
      <c r="E46" s="43">
        <v>9</v>
      </c>
      <c r="F46" s="50">
        <f>+(C46/200)*$C$43+(D46/200)*$D$43+(E46/200)*$E$43</f>
        <v>50.85</v>
      </c>
      <c r="M46" s="46" t="s">
        <v>85</v>
      </c>
      <c r="N46" s="6">
        <v>28</v>
      </c>
      <c r="O46" s="6">
        <v>28</v>
      </c>
      <c r="P46" s="43">
        <v>16</v>
      </c>
      <c r="Q46" s="50">
        <f>+(N46/200)*$C$43+(O46/200)*$D$43+(P46/200)*$E$43</f>
        <v>23.4</v>
      </c>
    </row>
    <row r="47" spans="2:17" ht="16" thickBot="1">
      <c r="B47" s="47" t="s">
        <v>86</v>
      </c>
      <c r="C47" s="48">
        <v>9</v>
      </c>
      <c r="D47" s="48">
        <v>136</v>
      </c>
      <c r="E47" s="49">
        <v>14</v>
      </c>
      <c r="F47" s="51">
        <f>+(C47/200)*$C$43+(D47/200)*$D$43+(E47/200)*$E$43</f>
        <v>66</v>
      </c>
      <c r="M47" s="47" t="s">
        <v>86</v>
      </c>
      <c r="N47" s="48">
        <v>18</v>
      </c>
      <c r="O47" s="48">
        <v>38</v>
      </c>
      <c r="P47" s="49">
        <v>15</v>
      </c>
      <c r="Q47" s="51">
        <f>+(N47/200)*$C$43+(O47/200)*$D$43+(P47/200)*$E$43</f>
        <v>24.75</v>
      </c>
    </row>
    <row r="48" spans="2:17">
      <c r="B48" s="6"/>
      <c r="C48" s="6"/>
      <c r="D48" s="6"/>
      <c r="E48" s="6"/>
    </row>
  </sheetData>
  <mergeCells count="2">
    <mergeCell ref="F43:F44"/>
    <mergeCell ref="Q43:Q44"/>
  </mergeCells>
  <pageMargins left="0.7" right="0.7" top="0.75" bottom="0.75" header="0.3" footer="0.3"/>
  <pageSetup paperSize="9" scale="42"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9E0C-F324-524D-9D8C-D9821C6E4949}">
  <dimension ref="A1:J56"/>
  <sheetViews>
    <sheetView workbookViewId="0">
      <selection activeCell="G28" sqref="G28"/>
    </sheetView>
  </sheetViews>
  <sheetFormatPr baseColWidth="10" defaultColWidth="10.75" defaultRowHeight="15.5"/>
  <cols>
    <col min="1" max="1" width="10.75" style="7"/>
    <col min="2" max="16384" width="10.75" style="6"/>
  </cols>
  <sheetData>
    <row r="1" spans="1:10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24</v>
      </c>
      <c r="B2"/>
      <c r="C2"/>
      <c r="D2"/>
      <c r="E2"/>
      <c r="F2" s="2" t="s">
        <v>59</v>
      </c>
      <c r="G2"/>
      <c r="H2"/>
      <c r="I2"/>
      <c r="J2"/>
    </row>
    <row r="3" spans="1:10" ht="16" thickBot="1">
      <c r="A3" s="2"/>
      <c r="B3"/>
      <c r="C3"/>
      <c r="D3"/>
      <c r="E3"/>
      <c r="F3"/>
      <c r="G3"/>
      <c r="H3"/>
      <c r="I3"/>
      <c r="J3"/>
    </row>
    <row r="4" spans="1:10" ht="16" thickBot="1">
      <c r="A4" s="73" t="s">
        <v>107</v>
      </c>
      <c r="B4"/>
      <c r="C4"/>
      <c r="D4"/>
      <c r="E4"/>
      <c r="G4" s="74" t="s">
        <v>8</v>
      </c>
      <c r="H4" s="75" t="s">
        <v>108</v>
      </c>
      <c r="I4" s="75" t="s">
        <v>109</v>
      </c>
      <c r="J4" s="79" t="s">
        <v>6</v>
      </c>
    </row>
    <row r="5" spans="1:10">
      <c r="A5" s="73" t="s">
        <v>110</v>
      </c>
      <c r="B5"/>
      <c r="C5"/>
      <c r="D5"/>
      <c r="E5"/>
      <c r="F5" s="80" t="s">
        <v>3</v>
      </c>
      <c r="G5" s="81">
        <f>+AVERAGE(A9:A69)</f>
        <v>28.73069360250301</v>
      </c>
      <c r="H5" s="86">
        <f>+AVERAGE(B9:B68)</f>
        <v>36.916666666666664</v>
      </c>
      <c r="I5" s="86">
        <f>+AVERAGE(C9:C64)</f>
        <v>28.604166666666668</v>
      </c>
      <c r="J5" s="82">
        <f>+AVERAGE(D9:D69)</f>
        <v>19.176666666666666</v>
      </c>
    </row>
    <row r="6" spans="1:10" ht="16" thickBot="1">
      <c r="A6" s="2"/>
      <c r="B6"/>
      <c r="C6"/>
      <c r="D6"/>
      <c r="E6"/>
      <c r="F6" s="83" t="s">
        <v>111</v>
      </c>
      <c r="G6" s="7">
        <f>_xlfn.STDEV.P(A9:A69)</f>
        <v>4.4975894087776229</v>
      </c>
      <c r="H6" s="68">
        <f>_xlfn.STDEV.P(B9:B68)</f>
        <v>3.7183852528871841</v>
      </c>
      <c r="I6" s="68">
        <f>_xlfn.STDEV.P(C9:C64)</f>
        <v>2.2797988154415925</v>
      </c>
      <c r="J6" s="84">
        <f>_xlfn.STDEV.P(D9:D69)</f>
        <v>0.55237869457666644</v>
      </c>
    </row>
    <row r="7" spans="1:10" ht="16" thickBot="1">
      <c r="A7" s="74" t="s">
        <v>8</v>
      </c>
      <c r="B7" s="75" t="s">
        <v>108</v>
      </c>
      <c r="C7" s="75" t="s">
        <v>109</v>
      </c>
      <c r="D7" s="79" t="s">
        <v>6</v>
      </c>
      <c r="F7" s="85" t="s">
        <v>112</v>
      </c>
      <c r="G7" s="87">
        <f>+G6/G5</f>
        <v>0.15654301532023557</v>
      </c>
      <c r="H7" s="87">
        <f t="shared" ref="H7:J7" si="0">+H6/H5</f>
        <v>0.10072375402854676</v>
      </c>
      <c r="I7" s="87">
        <f t="shared" si="0"/>
        <v>7.9701633751781811E-2</v>
      </c>
      <c r="J7" s="88">
        <f t="shared" si="0"/>
        <v>2.8804729423431243E-2</v>
      </c>
    </row>
    <row r="8" spans="1:10" ht="16" thickBot="1">
      <c r="A8" s="76" t="s">
        <v>113</v>
      </c>
      <c r="B8" s="77" t="s">
        <v>113</v>
      </c>
      <c r="C8" s="77" t="s">
        <v>113</v>
      </c>
      <c r="D8" s="78" t="s">
        <v>114</v>
      </c>
    </row>
    <row r="9" spans="1:10">
      <c r="A9" s="7">
        <v>26.418152350081048</v>
      </c>
      <c r="B9" s="6">
        <v>32</v>
      </c>
      <c r="C9" s="6">
        <v>30</v>
      </c>
      <c r="D9" s="6">
        <v>18.7</v>
      </c>
    </row>
    <row r="10" spans="1:10">
      <c r="A10" s="7">
        <v>27.96923076923078</v>
      </c>
      <c r="B10" s="6">
        <v>34</v>
      </c>
      <c r="C10" s="6">
        <v>27</v>
      </c>
      <c r="D10" s="6">
        <v>19.100000000000001</v>
      </c>
    </row>
    <row r="11" spans="1:10">
      <c r="A11" s="7">
        <v>35.321168966028779</v>
      </c>
      <c r="B11" s="6">
        <v>34</v>
      </c>
      <c r="C11" s="6">
        <v>28</v>
      </c>
      <c r="D11" s="6">
        <v>19.2</v>
      </c>
    </row>
    <row r="12" spans="1:10">
      <c r="A12" s="7">
        <v>32.423802612481865</v>
      </c>
      <c r="B12" s="6">
        <v>41</v>
      </c>
      <c r="C12" s="6">
        <v>27</v>
      </c>
      <c r="D12" s="6">
        <v>18.8</v>
      </c>
    </row>
    <row r="13" spans="1:10">
      <c r="A13" s="7">
        <v>24.586929716399521</v>
      </c>
      <c r="B13" s="6">
        <v>37</v>
      </c>
      <c r="C13" s="6">
        <v>30</v>
      </c>
      <c r="D13" s="6">
        <v>19.399999999999999</v>
      </c>
    </row>
    <row r="14" spans="1:10">
      <c r="A14" s="7">
        <v>31.270860077021823</v>
      </c>
      <c r="B14" s="6">
        <v>36</v>
      </c>
      <c r="C14" s="6">
        <v>29</v>
      </c>
      <c r="D14" s="6">
        <v>19.3</v>
      </c>
    </row>
    <row r="15" spans="1:10">
      <c r="A15" s="7">
        <v>32.226211849192097</v>
      </c>
      <c r="B15" s="6">
        <v>38</v>
      </c>
      <c r="C15" s="6">
        <v>32</v>
      </c>
      <c r="D15" s="6">
        <v>19.100000000000001</v>
      </c>
    </row>
    <row r="16" spans="1:10">
      <c r="A16" s="7">
        <v>34.833510719172892</v>
      </c>
      <c r="B16" s="6">
        <v>44</v>
      </c>
      <c r="C16" s="6">
        <v>33</v>
      </c>
      <c r="D16" s="6">
        <v>19</v>
      </c>
    </row>
    <row r="17" spans="1:4">
      <c r="A17" s="7">
        <v>33.512443438914012</v>
      </c>
      <c r="B17" s="6">
        <v>38</v>
      </c>
      <c r="C17" s="6">
        <v>30</v>
      </c>
      <c r="D17" s="6">
        <v>19.399999999999999</v>
      </c>
    </row>
    <row r="18" spans="1:4">
      <c r="A18" s="7">
        <v>30.19447287615149</v>
      </c>
      <c r="B18" s="6">
        <v>36</v>
      </c>
      <c r="C18" s="6">
        <v>30</v>
      </c>
      <c r="D18" s="6">
        <v>19.3</v>
      </c>
    </row>
    <row r="19" spans="1:4">
      <c r="A19" s="7">
        <v>30.257892396620719</v>
      </c>
      <c r="B19" s="6">
        <v>40</v>
      </c>
      <c r="C19" s="6">
        <v>32</v>
      </c>
      <c r="D19" s="6">
        <v>19.100000000000001</v>
      </c>
    </row>
    <row r="20" spans="1:4">
      <c r="A20" s="7">
        <v>33.87323943661972</v>
      </c>
      <c r="B20" s="6">
        <v>39</v>
      </c>
      <c r="C20" s="6">
        <v>30</v>
      </c>
      <c r="D20" s="6">
        <v>19.7</v>
      </c>
    </row>
    <row r="21" spans="1:4">
      <c r="A21" s="7">
        <v>30.001386385692502</v>
      </c>
      <c r="B21" s="6">
        <v>35</v>
      </c>
      <c r="C21" s="6">
        <v>28</v>
      </c>
      <c r="D21" s="6">
        <v>19.600000000000001</v>
      </c>
    </row>
    <row r="22" spans="1:4">
      <c r="A22" s="7">
        <v>27.594936708860779</v>
      </c>
      <c r="B22" s="6">
        <v>34</v>
      </c>
      <c r="C22" s="6">
        <v>28</v>
      </c>
      <c r="D22" s="6">
        <v>19</v>
      </c>
    </row>
    <row r="23" spans="1:4">
      <c r="A23" s="7">
        <v>32.555831265508701</v>
      </c>
      <c r="B23" s="6">
        <v>36</v>
      </c>
      <c r="C23" s="6">
        <v>32</v>
      </c>
      <c r="D23" s="6">
        <v>19.3</v>
      </c>
    </row>
    <row r="24" spans="1:4">
      <c r="A24" s="7">
        <v>32.246538633318437</v>
      </c>
      <c r="B24" s="6">
        <v>41</v>
      </c>
      <c r="C24" s="6">
        <v>29</v>
      </c>
      <c r="D24" s="6">
        <v>19.2</v>
      </c>
    </row>
    <row r="25" spans="1:4">
      <c r="A25" s="7">
        <v>32.520201250190574</v>
      </c>
      <c r="B25" s="6">
        <v>52</v>
      </c>
      <c r="C25" s="6">
        <v>25</v>
      </c>
      <c r="D25" s="6">
        <v>20.3</v>
      </c>
    </row>
    <row r="26" spans="1:4">
      <c r="A26" s="7">
        <v>33.037354562155535</v>
      </c>
      <c r="B26" s="6">
        <v>34</v>
      </c>
      <c r="C26" s="6">
        <v>30</v>
      </c>
      <c r="D26" s="6">
        <v>20.5</v>
      </c>
    </row>
    <row r="27" spans="1:4">
      <c r="A27" s="7">
        <v>33.363942454851561</v>
      </c>
      <c r="B27" s="6">
        <v>35</v>
      </c>
      <c r="C27" s="6">
        <v>28</v>
      </c>
      <c r="D27" s="6">
        <v>19.100000000000001</v>
      </c>
    </row>
    <row r="28" spans="1:4">
      <c r="A28" s="7">
        <v>29.823651452282157</v>
      </c>
      <c r="B28" s="6">
        <v>32</v>
      </c>
      <c r="C28" s="6">
        <v>30</v>
      </c>
      <c r="D28" s="6">
        <v>20.5</v>
      </c>
    </row>
    <row r="29" spans="1:4">
      <c r="A29" s="7">
        <v>30.72590738423029</v>
      </c>
      <c r="B29" s="6">
        <v>39</v>
      </c>
      <c r="C29" s="6">
        <v>27</v>
      </c>
      <c r="D29" s="6">
        <v>19.100000000000001</v>
      </c>
    </row>
    <row r="30" spans="1:4">
      <c r="A30" s="7">
        <v>27.015250544662315</v>
      </c>
      <c r="B30" s="6">
        <v>37</v>
      </c>
      <c r="C30" s="6">
        <v>28</v>
      </c>
      <c r="D30" s="6">
        <v>19.7</v>
      </c>
    </row>
    <row r="31" spans="1:4">
      <c r="A31" s="7">
        <v>32.278745644599319</v>
      </c>
      <c r="B31" s="6">
        <v>41</v>
      </c>
      <c r="C31" s="6">
        <v>27</v>
      </c>
      <c r="D31" s="6">
        <v>19</v>
      </c>
    </row>
    <row r="32" spans="1:4">
      <c r="A32" s="7">
        <v>22.244488977955896</v>
      </c>
      <c r="B32" s="6">
        <v>33</v>
      </c>
      <c r="C32" s="6">
        <v>29</v>
      </c>
      <c r="D32" s="6">
        <v>19</v>
      </c>
    </row>
    <row r="33" spans="1:4">
      <c r="A33" s="7">
        <v>21.300633783411417</v>
      </c>
      <c r="B33" s="6">
        <v>34</v>
      </c>
      <c r="C33" s="6">
        <v>30</v>
      </c>
      <c r="D33" s="6">
        <v>18.7</v>
      </c>
    </row>
    <row r="34" spans="1:4">
      <c r="A34" s="7">
        <v>25.901218729955094</v>
      </c>
      <c r="B34" s="6">
        <v>34</v>
      </c>
      <c r="C34" s="6">
        <v>27</v>
      </c>
      <c r="D34" s="6">
        <v>18.600000000000001</v>
      </c>
    </row>
    <row r="35" spans="1:4">
      <c r="A35" s="7">
        <v>21.283299914064735</v>
      </c>
      <c r="B35" s="6">
        <v>39</v>
      </c>
      <c r="C35" s="6">
        <v>27</v>
      </c>
      <c r="D35" s="6">
        <v>18.399999999999999</v>
      </c>
    </row>
    <row r="36" spans="1:4">
      <c r="A36" s="7">
        <v>30.739204684069271</v>
      </c>
      <c r="B36" s="6">
        <v>41</v>
      </c>
      <c r="C36" s="6">
        <v>27</v>
      </c>
      <c r="D36" s="6">
        <v>18.3</v>
      </c>
    </row>
    <row r="37" spans="1:4">
      <c r="A37" s="7">
        <v>28.903654485049827</v>
      </c>
      <c r="B37" s="6">
        <v>40</v>
      </c>
      <c r="C37" s="6">
        <v>32</v>
      </c>
      <c r="D37" s="6">
        <v>18.399999999999999</v>
      </c>
    </row>
    <row r="38" spans="1:4">
      <c r="A38" s="7">
        <v>27.327798967915655</v>
      </c>
      <c r="B38" s="6">
        <v>35</v>
      </c>
      <c r="C38" s="6">
        <v>30</v>
      </c>
      <c r="D38" s="6">
        <v>18.5</v>
      </c>
    </row>
    <row r="39" spans="1:4">
      <c r="A39" s="7">
        <v>32.989937709631043</v>
      </c>
      <c r="B39" s="6">
        <v>38</v>
      </c>
      <c r="C39" s="6">
        <v>29</v>
      </c>
    </row>
    <row r="40" spans="1:4">
      <c r="A40" s="7">
        <v>18.286915396741982</v>
      </c>
      <c r="B40" s="6">
        <v>33</v>
      </c>
      <c r="C40" s="6">
        <v>22</v>
      </c>
    </row>
    <row r="41" spans="1:4">
      <c r="A41" s="7">
        <v>30.916724982505233</v>
      </c>
      <c r="B41" s="6">
        <v>37</v>
      </c>
      <c r="C41" s="6">
        <v>23</v>
      </c>
    </row>
    <row r="42" spans="1:4">
      <c r="A42" s="7">
        <v>33.877005347593581</v>
      </c>
      <c r="B42" s="6">
        <v>40</v>
      </c>
      <c r="C42" s="6">
        <v>25</v>
      </c>
    </row>
    <row r="43" spans="1:4">
      <c r="A43" s="7">
        <v>31.46743395239341</v>
      </c>
      <c r="B43" s="6">
        <v>39</v>
      </c>
      <c r="C43" s="6">
        <v>29</v>
      </c>
    </row>
    <row r="44" spans="1:4">
      <c r="A44" s="7">
        <v>27.656249999999989</v>
      </c>
      <c r="B44" s="6">
        <v>39</v>
      </c>
      <c r="C44" s="6">
        <v>31</v>
      </c>
    </row>
    <row r="45" spans="1:4">
      <c r="A45" s="7">
        <v>24.307225104390749</v>
      </c>
      <c r="B45" s="6">
        <v>31</v>
      </c>
      <c r="C45" s="6">
        <v>25</v>
      </c>
    </row>
    <row r="46" spans="1:4">
      <c r="A46" s="7">
        <v>20.496894409937884</v>
      </c>
      <c r="B46" s="6">
        <v>35</v>
      </c>
      <c r="C46" s="6">
        <v>31</v>
      </c>
    </row>
    <row r="47" spans="1:4">
      <c r="A47" s="7">
        <v>23.064516129032242</v>
      </c>
      <c r="B47" s="6">
        <v>33</v>
      </c>
      <c r="C47" s="6">
        <v>32</v>
      </c>
    </row>
    <row r="48" spans="1:4">
      <c r="A48" s="7">
        <v>32.193661093087108</v>
      </c>
      <c r="B48" s="6">
        <v>33</v>
      </c>
      <c r="C48" s="6">
        <v>29</v>
      </c>
    </row>
    <row r="49" spans="1:3">
      <c r="A49" s="7">
        <v>23.046390473827852</v>
      </c>
      <c r="B49" s="6">
        <v>34</v>
      </c>
      <c r="C49" s="6">
        <v>30</v>
      </c>
    </row>
    <row r="50" spans="1:3">
      <c r="A50" s="7">
        <v>24.725274725274726</v>
      </c>
      <c r="B50" s="6">
        <v>36</v>
      </c>
      <c r="C50" s="6">
        <v>28</v>
      </c>
    </row>
    <row r="51" spans="1:3">
      <c r="A51" s="7">
        <v>32.218668217505083</v>
      </c>
      <c r="B51" s="6">
        <v>37</v>
      </c>
      <c r="C51" s="6">
        <v>27</v>
      </c>
    </row>
    <row r="52" spans="1:3">
      <c r="A52" s="7">
        <v>33.697916666666657</v>
      </c>
      <c r="B52" s="6">
        <v>42</v>
      </c>
      <c r="C52" s="6">
        <v>28</v>
      </c>
    </row>
    <row r="53" spans="1:3">
      <c r="A53" s="7">
        <v>22.290209790209786</v>
      </c>
      <c r="B53" s="6">
        <v>33</v>
      </c>
      <c r="C53" s="6">
        <v>29</v>
      </c>
    </row>
    <row r="54" spans="1:3">
      <c r="A54" s="7">
        <v>19.650525692284905</v>
      </c>
      <c r="B54" s="6">
        <v>36</v>
      </c>
      <c r="C54" s="6">
        <v>28</v>
      </c>
    </row>
    <row r="55" spans="1:3">
      <c r="A55" s="7">
        <v>28.958764827716077</v>
      </c>
      <c r="B55" s="6">
        <v>38</v>
      </c>
      <c r="C55" s="6">
        <v>27</v>
      </c>
    </row>
    <row r="56" spans="1:3">
      <c r="A56" s="7">
        <v>27.477017364657801</v>
      </c>
      <c r="B56" s="6">
        <v>37</v>
      </c>
      <c r="C56" s="6">
        <v>28</v>
      </c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516B5-83D4-0D44-B3CE-07D855AD3ED1}">
  <dimension ref="A1:XEZ341"/>
  <sheetViews>
    <sheetView topLeftCell="E1" zoomScale="125" workbookViewId="0">
      <selection activeCell="O22" sqref="O22"/>
    </sheetView>
  </sheetViews>
  <sheetFormatPr baseColWidth="10" defaultColWidth="8.75" defaultRowHeight="14.5"/>
  <cols>
    <col min="1" max="13" width="8.75" style="91"/>
    <col min="14" max="17" width="8.75" style="91" customWidth="1"/>
    <col min="18" max="16384" width="8.75" style="91"/>
  </cols>
  <sheetData>
    <row r="1" spans="1:22 16380:16380" ht="15.5">
      <c r="A1" s="1" t="s">
        <v>115</v>
      </c>
      <c r="B1" s="1"/>
      <c r="C1" s="1"/>
      <c r="D1" s="1"/>
      <c r="E1" s="1"/>
      <c r="F1" s="1"/>
      <c r="G1" s="1"/>
      <c r="H1" s="1"/>
      <c r="I1" s="1"/>
      <c r="J1" s="1"/>
    </row>
    <row r="2" spans="1:22 16380:16380" ht="15.5">
      <c r="A2" s="2" t="s">
        <v>24</v>
      </c>
      <c r="B2"/>
      <c r="C2"/>
      <c r="D2"/>
      <c r="E2"/>
      <c r="F2" s="2" t="s">
        <v>59</v>
      </c>
      <c r="G2"/>
      <c r="H2"/>
      <c r="I2"/>
      <c r="J2"/>
    </row>
    <row r="6" spans="1:22 16380:16380">
      <c r="A6" s="89" t="s">
        <v>116</v>
      </c>
      <c r="B6" s="225" t="s">
        <v>117</v>
      </c>
      <c r="C6" s="225"/>
      <c r="D6" s="225"/>
      <c r="E6" s="225"/>
      <c r="F6" s="90"/>
      <c r="M6" s="89"/>
      <c r="N6" s="89"/>
      <c r="O6" s="89"/>
      <c r="P6" s="89"/>
      <c r="Q6" s="89"/>
      <c r="R6" s="89"/>
      <c r="S6" s="89"/>
      <c r="T6" s="89"/>
      <c r="U6" s="89"/>
    </row>
    <row r="7" spans="1:22 16380:16380">
      <c r="A7" s="89" t="s">
        <v>44</v>
      </c>
      <c r="B7" s="89" t="s">
        <v>118</v>
      </c>
      <c r="C7" s="89" t="s">
        <v>119</v>
      </c>
      <c r="D7" s="92" t="s">
        <v>120</v>
      </c>
      <c r="E7" s="92" t="s">
        <v>121</v>
      </c>
      <c r="F7" s="90"/>
      <c r="M7" s="89"/>
      <c r="N7" s="89"/>
      <c r="O7" s="89"/>
      <c r="P7" s="89"/>
      <c r="Q7" s="89"/>
      <c r="R7" s="89"/>
      <c r="S7" s="89"/>
      <c r="T7" s="89"/>
      <c r="U7" s="89"/>
      <c r="XEZ7" s="93" t="s">
        <v>120</v>
      </c>
    </row>
    <row r="8" spans="1:22 16380:16380" ht="15" thickBot="1">
      <c r="A8" s="89"/>
      <c r="B8" s="89"/>
      <c r="C8" s="89"/>
      <c r="D8" s="89"/>
      <c r="E8" s="89"/>
      <c r="F8" s="90"/>
      <c r="M8" s="89"/>
      <c r="N8" s="89"/>
      <c r="O8" s="89"/>
      <c r="P8" s="89"/>
      <c r="Q8" s="89"/>
      <c r="R8" s="89"/>
      <c r="S8" s="89"/>
      <c r="T8" s="89"/>
      <c r="U8" s="89"/>
    </row>
    <row r="9" spans="1:22 16380:16380" ht="15.5">
      <c r="A9" s="94">
        <v>0</v>
      </c>
      <c r="B9" s="94">
        <v>4.8999999999999998E-3</v>
      </c>
      <c r="C9" s="94">
        <v>4.8999999999964471E-3</v>
      </c>
      <c r="D9" s="94">
        <f t="shared" ref="D9:D72" si="0">MAX(0,(B9-C9))</f>
        <v>3.5527136788005009E-15</v>
      </c>
      <c r="E9" s="94">
        <f t="shared" ref="E9:E72" si="1">B9+C9</f>
        <v>9.799999999996447E-3</v>
      </c>
      <c r="M9" s="98" t="str">
        <f>+A6</f>
        <v>Depth</v>
      </c>
      <c r="N9" s="98" t="str">
        <f>+B7</f>
        <v>Mean</v>
      </c>
      <c r="O9" s="98" t="s">
        <v>6</v>
      </c>
      <c r="P9" s="106" t="s">
        <v>122</v>
      </c>
      <c r="Q9" s="98" t="s">
        <v>123</v>
      </c>
      <c r="R9" s="98" t="s">
        <v>124</v>
      </c>
      <c r="T9" s="80" t="s">
        <v>3</v>
      </c>
      <c r="U9" s="86">
        <f>+AVERAGE(R11:R51)</f>
        <v>139.48056620209059</v>
      </c>
      <c r="V9" s="102" t="s">
        <v>12</v>
      </c>
    </row>
    <row r="10" spans="1:22 16380:16380" ht="15.5">
      <c r="A10" s="94">
        <v>0.05</v>
      </c>
      <c r="B10" s="94">
        <v>3.3999999999999998E-3</v>
      </c>
      <c r="C10" s="94">
        <v>0.22784999999999997</v>
      </c>
      <c r="D10" s="94">
        <f t="shared" si="0"/>
        <v>0</v>
      </c>
      <c r="E10" s="94">
        <f t="shared" si="1"/>
        <v>0.23124999999999996</v>
      </c>
      <c r="M10" s="98" t="str">
        <f>+A7</f>
        <v>(m)</v>
      </c>
      <c r="N10" s="98" t="s">
        <v>45</v>
      </c>
      <c r="O10" s="98" t="s">
        <v>114</v>
      </c>
      <c r="P10" s="98" t="s">
        <v>53</v>
      </c>
      <c r="Q10" s="98" t="s">
        <v>125</v>
      </c>
      <c r="R10" s="98" t="s">
        <v>53</v>
      </c>
      <c r="S10" s="89"/>
      <c r="T10" s="83" t="s">
        <v>111</v>
      </c>
      <c r="U10" s="7">
        <f>_xlfn.STDEV.P(R11:R51)</f>
        <v>17.776214968249299</v>
      </c>
      <c r="V10" s="103" t="s">
        <v>12</v>
      </c>
    </row>
    <row r="11" spans="1:22 16380:16380" ht="15.5">
      <c r="A11" s="94">
        <v>0.1</v>
      </c>
      <c r="B11" s="94">
        <v>0.50029999999999997</v>
      </c>
      <c r="C11" s="94">
        <v>0.64280000000000004</v>
      </c>
      <c r="D11" s="94">
        <f t="shared" si="0"/>
        <v>0</v>
      </c>
      <c r="E11" s="94">
        <f t="shared" si="1"/>
        <v>1.1431</v>
      </c>
      <c r="M11" s="94">
        <f>+A49</f>
        <v>2.0000000000000009</v>
      </c>
      <c r="N11" s="94">
        <f>+B49</f>
        <v>1.5088999999999999</v>
      </c>
      <c r="O11" s="89">
        <v>22.5</v>
      </c>
      <c r="P11" s="89">
        <f>+M11*O11</f>
        <v>45.000000000000021</v>
      </c>
      <c r="Q11" s="89">
        <v>14</v>
      </c>
      <c r="R11" s="97">
        <f>+(N11*1000-P11)/Q11</f>
        <v>104.5642857142857</v>
      </c>
      <c r="S11" s="89"/>
      <c r="T11" s="100" t="s">
        <v>112</v>
      </c>
      <c r="U11" s="99">
        <f>+U10/U9</f>
        <v>0.12744581881388192</v>
      </c>
      <c r="V11" s="103"/>
    </row>
    <row r="12" spans="1:22 16380:16380" ht="15" thickBot="1">
      <c r="A12" s="94">
        <v>0.15000000000000002</v>
      </c>
      <c r="B12" s="94">
        <v>1.1500999999999999</v>
      </c>
      <c r="C12" s="94">
        <v>1.0387</v>
      </c>
      <c r="D12" s="94">
        <f t="shared" si="0"/>
        <v>0.11139999999999994</v>
      </c>
      <c r="E12" s="94">
        <f t="shared" si="1"/>
        <v>2.1887999999999996</v>
      </c>
      <c r="M12" s="94">
        <f t="shared" ref="M12:N12" si="2">+A50</f>
        <v>2.0500000000000007</v>
      </c>
      <c r="N12" s="94">
        <f t="shared" si="2"/>
        <v>1.4678</v>
      </c>
      <c r="O12" s="89">
        <v>22.5</v>
      </c>
      <c r="P12" s="96">
        <f>+P11+(M12-M11)*O12</f>
        <v>46.125000000000014</v>
      </c>
      <c r="Q12" s="89">
        <v>14</v>
      </c>
      <c r="R12" s="97">
        <f t="shared" ref="R12:R51" si="3">+(N12*1000-P12)/Q12</f>
        <v>101.54821428571428</v>
      </c>
      <c r="S12" s="89"/>
      <c r="T12" s="101" t="s">
        <v>126</v>
      </c>
      <c r="U12" s="104">
        <f>+U9-0.84*U10</f>
        <v>124.54854562876118</v>
      </c>
      <c r="V12" s="105" t="s">
        <v>12</v>
      </c>
    </row>
    <row r="13" spans="1:22 16380:16380">
      <c r="A13" s="94">
        <v>0.2</v>
      </c>
      <c r="B13" s="94">
        <v>1.6612</v>
      </c>
      <c r="C13" s="94">
        <v>1.1543999999999999</v>
      </c>
      <c r="D13" s="94">
        <f t="shared" si="0"/>
        <v>0.50680000000000014</v>
      </c>
      <c r="E13" s="94">
        <f t="shared" si="1"/>
        <v>2.8155999999999999</v>
      </c>
      <c r="M13" s="94">
        <f t="shared" ref="M13:N13" si="4">+A51</f>
        <v>2.1000000000000005</v>
      </c>
      <c r="N13" s="94">
        <f t="shared" si="4"/>
        <v>1.5421</v>
      </c>
      <c r="O13" s="89">
        <v>22.5</v>
      </c>
      <c r="P13" s="96">
        <f t="shared" ref="P13:P51" si="5">+P12+(M13-M12)*O13</f>
        <v>47.250000000000007</v>
      </c>
      <c r="Q13" s="89">
        <v>14</v>
      </c>
      <c r="R13" s="97">
        <f t="shared" si="3"/>
        <v>106.77500000000001</v>
      </c>
      <c r="S13" s="89"/>
      <c r="T13" s="89"/>
      <c r="U13" s="89"/>
    </row>
    <row r="14" spans="1:22 16380:16380">
      <c r="A14" s="94">
        <v>0.25</v>
      </c>
      <c r="B14" s="94">
        <v>2.6206</v>
      </c>
      <c r="C14" s="94">
        <v>1.9834500000000002</v>
      </c>
      <c r="D14" s="94">
        <f t="shared" si="0"/>
        <v>0.63714999999999988</v>
      </c>
      <c r="E14" s="94">
        <f t="shared" si="1"/>
        <v>4.60405</v>
      </c>
      <c r="M14" s="94">
        <f t="shared" ref="M14:N14" si="6">+A52</f>
        <v>2.1500000000000004</v>
      </c>
      <c r="N14" s="94">
        <f t="shared" si="6"/>
        <v>1.6536999999999999</v>
      </c>
      <c r="O14" s="89">
        <v>22.5</v>
      </c>
      <c r="P14" s="96">
        <f t="shared" si="5"/>
        <v>48.375</v>
      </c>
      <c r="Q14" s="89">
        <v>14</v>
      </c>
      <c r="R14" s="97">
        <f t="shared" si="3"/>
        <v>114.66607142857143</v>
      </c>
      <c r="S14" s="89"/>
      <c r="T14" s="89"/>
      <c r="U14" s="89"/>
    </row>
    <row r="15" spans="1:22 16380:16380">
      <c r="A15" s="94">
        <v>0.3</v>
      </c>
      <c r="B15" s="94">
        <v>3.6214</v>
      </c>
      <c r="C15" s="94">
        <v>3.0244999999999997</v>
      </c>
      <c r="D15" s="94">
        <f t="shared" si="0"/>
        <v>0.59690000000000021</v>
      </c>
      <c r="E15" s="94">
        <f t="shared" si="1"/>
        <v>6.6458999999999993</v>
      </c>
      <c r="M15" s="94">
        <f t="shared" ref="M15:N15" si="7">+A53</f>
        <v>2.2000000000000002</v>
      </c>
      <c r="N15" s="94">
        <f t="shared" si="7"/>
        <v>1.7444</v>
      </c>
      <c r="O15" s="89">
        <v>22.5</v>
      </c>
      <c r="P15" s="96">
        <f t="shared" si="5"/>
        <v>49.499999999999993</v>
      </c>
      <c r="Q15" s="89">
        <v>14</v>
      </c>
      <c r="R15" s="97">
        <f t="shared" si="3"/>
        <v>121.0642857142857</v>
      </c>
      <c r="S15" s="89"/>
      <c r="T15" s="89"/>
      <c r="U15" s="89"/>
    </row>
    <row r="16" spans="1:22 16380:16380">
      <c r="A16" s="94">
        <v>0.35</v>
      </c>
      <c r="B16" s="94">
        <v>4.3510999999999997</v>
      </c>
      <c r="C16" s="94">
        <v>3.6999500000000003</v>
      </c>
      <c r="D16" s="94">
        <f t="shared" si="0"/>
        <v>0.65114999999999945</v>
      </c>
      <c r="E16" s="94">
        <f t="shared" si="1"/>
        <v>8.05105</v>
      </c>
      <c r="M16" s="94">
        <f t="shared" ref="M16:N16" si="8">+A54</f>
        <v>2.25</v>
      </c>
      <c r="N16" s="94">
        <f t="shared" si="8"/>
        <v>1.8440000000000001</v>
      </c>
      <c r="O16" s="89">
        <v>22.5</v>
      </c>
      <c r="P16" s="96">
        <f t="shared" si="5"/>
        <v>50.624999999999986</v>
      </c>
      <c r="Q16" s="89">
        <v>14</v>
      </c>
      <c r="R16" s="97">
        <f t="shared" si="3"/>
        <v>128.09821428571428</v>
      </c>
      <c r="S16" s="89"/>
      <c r="T16" s="89"/>
      <c r="U16" s="89"/>
    </row>
    <row r="17" spans="1:21">
      <c r="A17" s="94">
        <v>0.39999999999999997</v>
      </c>
      <c r="B17" s="94">
        <v>4.2465999999999999</v>
      </c>
      <c r="C17" s="94">
        <v>3.6435499999999998</v>
      </c>
      <c r="D17" s="94">
        <f t="shared" si="0"/>
        <v>0.60305000000000009</v>
      </c>
      <c r="E17" s="94">
        <f t="shared" si="1"/>
        <v>7.8901500000000002</v>
      </c>
      <c r="M17" s="94">
        <f t="shared" ref="M17:N17" si="9">+A55</f>
        <v>2.2999999999999998</v>
      </c>
      <c r="N17" s="94">
        <f t="shared" si="9"/>
        <v>1.7338</v>
      </c>
      <c r="O17" s="89">
        <v>22.5</v>
      </c>
      <c r="P17" s="96">
        <f t="shared" si="5"/>
        <v>51.749999999999979</v>
      </c>
      <c r="Q17" s="89">
        <v>14</v>
      </c>
      <c r="R17" s="97">
        <f t="shared" si="3"/>
        <v>120.14642857142857</v>
      </c>
      <c r="S17" s="89"/>
      <c r="T17" s="89"/>
      <c r="U17" s="89"/>
    </row>
    <row r="18" spans="1:21" ht="15.5">
      <c r="A18" s="94">
        <v>0.44999999999999996</v>
      </c>
      <c r="B18" s="94">
        <v>4.1035000000000004</v>
      </c>
      <c r="C18" s="94">
        <v>3.5719000000000003</v>
      </c>
      <c r="D18" s="94">
        <f t="shared" si="0"/>
        <v>0.53160000000000007</v>
      </c>
      <c r="E18" s="94">
        <f t="shared" si="1"/>
        <v>7.6754000000000007</v>
      </c>
      <c r="M18" s="94">
        <f t="shared" ref="M18:N18" si="10">+A56</f>
        <v>2.3499999999999996</v>
      </c>
      <c r="N18" s="94">
        <f t="shared" si="10"/>
        <v>1.6796</v>
      </c>
      <c r="O18" s="89">
        <v>22.5</v>
      </c>
      <c r="P18" s="96">
        <f t="shared" si="5"/>
        <v>52.874999999999972</v>
      </c>
      <c r="Q18" s="89">
        <v>14</v>
      </c>
      <c r="R18" s="97">
        <f t="shared" si="3"/>
        <v>116.19464285714285</v>
      </c>
      <c r="S18" s="5"/>
      <c r="T18"/>
      <c r="U18" s="89"/>
    </row>
    <row r="19" spans="1:21" ht="15.5">
      <c r="A19" s="94">
        <v>0.49999999999999994</v>
      </c>
      <c r="B19" s="94">
        <v>4.4679000000000002</v>
      </c>
      <c r="C19" s="94">
        <v>3.9408500000000002</v>
      </c>
      <c r="D19" s="94">
        <f t="shared" si="0"/>
        <v>0.52705000000000002</v>
      </c>
      <c r="E19" s="94">
        <f t="shared" si="1"/>
        <v>8.4087500000000013</v>
      </c>
      <c r="M19" s="94">
        <f t="shared" ref="M19:N19" si="11">+A57</f>
        <v>2.3999999999999995</v>
      </c>
      <c r="N19" s="94">
        <f t="shared" si="11"/>
        <v>1.6474</v>
      </c>
      <c r="O19" s="89">
        <v>22.5</v>
      </c>
      <c r="P19" s="96">
        <f t="shared" si="5"/>
        <v>53.999999999999964</v>
      </c>
      <c r="Q19" s="89">
        <v>14</v>
      </c>
      <c r="R19" s="97">
        <f t="shared" si="3"/>
        <v>113.8142857142857</v>
      </c>
      <c r="S19" s="5"/>
      <c r="T19"/>
      <c r="U19" s="89"/>
    </row>
    <row r="20" spans="1:21" ht="15.5">
      <c r="A20" s="94">
        <v>0.54999999999999993</v>
      </c>
      <c r="B20" s="94">
        <v>5.0552999999999999</v>
      </c>
      <c r="C20" s="94">
        <v>4.4088499999999993</v>
      </c>
      <c r="D20" s="94">
        <f t="shared" si="0"/>
        <v>0.64645000000000064</v>
      </c>
      <c r="E20" s="94">
        <f t="shared" si="1"/>
        <v>9.4641500000000001</v>
      </c>
      <c r="M20" s="94">
        <f t="shared" ref="M20:N20" si="12">+A58</f>
        <v>2.4499999999999993</v>
      </c>
      <c r="N20" s="94">
        <f t="shared" si="12"/>
        <v>1.5965</v>
      </c>
      <c r="O20" s="89">
        <v>22.5</v>
      </c>
      <c r="P20" s="96">
        <f t="shared" si="5"/>
        <v>55.124999999999957</v>
      </c>
      <c r="Q20" s="89">
        <v>14</v>
      </c>
      <c r="R20" s="97">
        <f t="shared" si="3"/>
        <v>110.09821428571429</v>
      </c>
      <c r="S20" s="5"/>
      <c r="T20"/>
    </row>
    <row r="21" spans="1:21" ht="15.5">
      <c r="A21" s="94">
        <v>0.6</v>
      </c>
      <c r="B21" s="94">
        <v>5.5732999999999997</v>
      </c>
      <c r="C21" s="94">
        <v>4.9330999999999996</v>
      </c>
      <c r="D21" s="94">
        <f t="shared" si="0"/>
        <v>0.6402000000000001</v>
      </c>
      <c r="E21" s="94">
        <f t="shared" si="1"/>
        <v>10.506399999999999</v>
      </c>
      <c r="M21" s="94">
        <f t="shared" ref="M21:N21" si="13">+A59</f>
        <v>2.4999999999999991</v>
      </c>
      <c r="N21" s="94">
        <f t="shared" si="13"/>
        <v>1.7004999999999999</v>
      </c>
      <c r="O21" s="89">
        <v>22.5</v>
      </c>
      <c r="P21" s="96">
        <f t="shared" si="5"/>
        <v>56.24999999999995</v>
      </c>
      <c r="Q21" s="89">
        <v>14</v>
      </c>
      <c r="R21" s="97">
        <f t="shared" si="3"/>
        <v>117.44642857142857</v>
      </c>
      <c r="S21" s="5"/>
      <c r="T21"/>
    </row>
    <row r="22" spans="1:21">
      <c r="A22" s="94">
        <v>0.65</v>
      </c>
      <c r="B22" s="94">
        <v>4.0122999999999998</v>
      </c>
      <c r="C22" s="94">
        <v>3.5549999999999997</v>
      </c>
      <c r="D22" s="94">
        <f t="shared" si="0"/>
        <v>0.45730000000000004</v>
      </c>
      <c r="E22" s="94">
        <f t="shared" si="1"/>
        <v>7.5672999999999995</v>
      </c>
      <c r="M22" s="94">
        <f t="shared" ref="M22:N22" si="14">+A60</f>
        <v>2.5499999999999989</v>
      </c>
      <c r="N22" s="94">
        <f t="shared" si="14"/>
        <v>1.7966</v>
      </c>
      <c r="O22" s="89">
        <v>22.5</v>
      </c>
      <c r="P22" s="96">
        <f t="shared" si="5"/>
        <v>57.374999999999943</v>
      </c>
      <c r="Q22" s="89">
        <v>14</v>
      </c>
      <c r="R22" s="97">
        <f t="shared" si="3"/>
        <v>124.23035714285713</v>
      </c>
    </row>
    <row r="23" spans="1:21">
      <c r="A23" s="94">
        <v>0.70000000000000007</v>
      </c>
      <c r="B23" s="94">
        <v>3.1234999999999999</v>
      </c>
      <c r="C23" s="94">
        <v>2.2278500000000001</v>
      </c>
      <c r="D23" s="94">
        <f t="shared" si="0"/>
        <v>0.89564999999999984</v>
      </c>
      <c r="E23" s="94">
        <f t="shared" si="1"/>
        <v>5.3513500000000001</v>
      </c>
      <c r="M23" s="94">
        <f t="shared" ref="M23:N23" si="15">+A61</f>
        <v>2.5999999999999988</v>
      </c>
      <c r="N23" s="94">
        <f t="shared" si="15"/>
        <v>1.8467</v>
      </c>
      <c r="O23" s="89">
        <v>22.5</v>
      </c>
      <c r="P23" s="96">
        <f t="shared" si="5"/>
        <v>58.499999999999936</v>
      </c>
      <c r="Q23" s="89">
        <v>14</v>
      </c>
      <c r="R23" s="97">
        <f t="shared" si="3"/>
        <v>127.72857142857143</v>
      </c>
    </row>
    <row r="24" spans="1:21">
      <c r="A24" s="94">
        <v>0.75000000000000011</v>
      </c>
      <c r="B24" s="94">
        <v>2.2734999999999999</v>
      </c>
      <c r="C24" s="94">
        <v>1.4908000000000001</v>
      </c>
      <c r="D24" s="94">
        <f t="shared" si="0"/>
        <v>0.78269999999999973</v>
      </c>
      <c r="E24" s="94">
        <f t="shared" si="1"/>
        <v>3.7643</v>
      </c>
      <c r="M24" s="94">
        <f t="shared" ref="M24:N24" si="16">+A62</f>
        <v>2.6499999999999986</v>
      </c>
      <c r="N24" s="94">
        <f t="shared" si="16"/>
        <v>1.8541000000000001</v>
      </c>
      <c r="O24" s="89">
        <v>22.5</v>
      </c>
      <c r="P24" s="96">
        <f t="shared" si="5"/>
        <v>59.624999999999929</v>
      </c>
      <c r="Q24" s="89">
        <v>14</v>
      </c>
      <c r="R24" s="97">
        <f t="shared" si="3"/>
        <v>128.17678571428573</v>
      </c>
    </row>
    <row r="25" spans="1:21">
      <c r="A25" s="94">
        <v>0.80000000000000016</v>
      </c>
      <c r="B25" s="94">
        <v>1.9133</v>
      </c>
      <c r="C25" s="94">
        <v>0.86639999999999995</v>
      </c>
      <c r="D25" s="94">
        <f t="shared" si="0"/>
        <v>1.0468999999999999</v>
      </c>
      <c r="E25" s="94">
        <f t="shared" si="1"/>
        <v>2.7797000000000001</v>
      </c>
      <c r="M25" s="94">
        <f t="shared" ref="M25:N25" si="17">+A63</f>
        <v>2.6999999999999984</v>
      </c>
      <c r="N25" s="94">
        <f t="shared" si="17"/>
        <v>1.8724000000000001</v>
      </c>
      <c r="O25" s="89">
        <v>22.5</v>
      </c>
      <c r="P25" s="96">
        <f t="shared" si="5"/>
        <v>60.749999999999922</v>
      </c>
      <c r="Q25" s="89">
        <v>14</v>
      </c>
      <c r="R25" s="97">
        <f t="shared" si="3"/>
        <v>129.40357142857144</v>
      </c>
    </row>
    <row r="26" spans="1:21">
      <c r="A26" s="94">
        <v>0.8500000000000002</v>
      </c>
      <c r="B26" s="94">
        <v>1.7563</v>
      </c>
      <c r="C26" s="94">
        <v>0.76970000000000005</v>
      </c>
      <c r="D26" s="94">
        <f t="shared" si="0"/>
        <v>0.98659999999999992</v>
      </c>
      <c r="E26" s="94">
        <f t="shared" si="1"/>
        <v>2.5259999999999998</v>
      </c>
      <c r="M26" s="94">
        <f t="shared" ref="M26:N26" si="18">+A64</f>
        <v>2.7499999999999982</v>
      </c>
      <c r="N26" s="94">
        <f t="shared" si="18"/>
        <v>2.0246</v>
      </c>
      <c r="O26" s="89">
        <v>22.5</v>
      </c>
      <c r="P26" s="96">
        <f t="shared" si="5"/>
        <v>61.874999999999915</v>
      </c>
      <c r="Q26" s="89">
        <v>14</v>
      </c>
      <c r="R26" s="97">
        <f t="shared" si="3"/>
        <v>140.19464285714284</v>
      </c>
    </row>
    <row r="27" spans="1:21" ht="15.5">
      <c r="A27" s="94">
        <v>0.90000000000000024</v>
      </c>
      <c r="B27" s="94">
        <v>1.6739999999999999</v>
      </c>
      <c r="C27" s="94">
        <v>0.83640000000000003</v>
      </c>
      <c r="D27" s="94">
        <f t="shared" si="0"/>
        <v>0.8375999999999999</v>
      </c>
      <c r="E27" s="94">
        <f t="shared" si="1"/>
        <v>2.5103999999999997</v>
      </c>
      <c r="M27" s="94">
        <f t="shared" ref="M27:N27" si="19">+A65</f>
        <v>2.799999999999998</v>
      </c>
      <c r="N27" s="94">
        <f t="shared" si="19"/>
        <v>2.1669</v>
      </c>
      <c r="O27" s="89">
        <v>22</v>
      </c>
      <c r="P27" s="96">
        <f t="shared" si="5"/>
        <v>62.974999999999909</v>
      </c>
      <c r="Q27" s="89">
        <v>14</v>
      </c>
      <c r="R27" s="97">
        <f t="shared" si="3"/>
        <v>150.28035714285716</v>
      </c>
      <c r="T27"/>
      <c r="U27"/>
    </row>
    <row r="28" spans="1:21" ht="15.5">
      <c r="A28" s="94">
        <v>0.95000000000000029</v>
      </c>
      <c r="B28" s="94">
        <v>1.589</v>
      </c>
      <c r="C28" s="94">
        <v>0.87574999999999992</v>
      </c>
      <c r="D28" s="94">
        <f t="shared" si="0"/>
        <v>0.71325000000000005</v>
      </c>
      <c r="E28" s="94">
        <f t="shared" si="1"/>
        <v>2.46475</v>
      </c>
      <c r="M28" s="94">
        <f t="shared" ref="M28:N28" si="20">+A66</f>
        <v>2.8499999999999979</v>
      </c>
      <c r="N28" s="94">
        <f t="shared" si="20"/>
        <v>2.3311999999999999</v>
      </c>
      <c r="O28" s="89">
        <v>22</v>
      </c>
      <c r="P28" s="96">
        <f t="shared" si="5"/>
        <v>64.074999999999903</v>
      </c>
      <c r="Q28" s="89">
        <v>14</v>
      </c>
      <c r="R28" s="97">
        <f t="shared" si="3"/>
        <v>161.9375</v>
      </c>
      <c r="T28"/>
      <c r="U28"/>
    </row>
    <row r="29" spans="1:21" ht="15.5">
      <c r="A29" s="94">
        <v>1.0000000000000002</v>
      </c>
      <c r="B29" s="94">
        <v>1.5121</v>
      </c>
      <c r="C29" s="94">
        <v>0.62854999999999994</v>
      </c>
      <c r="D29" s="94">
        <f t="shared" si="0"/>
        <v>0.88355000000000006</v>
      </c>
      <c r="E29" s="94">
        <f t="shared" si="1"/>
        <v>2.1406499999999999</v>
      </c>
      <c r="M29" s="94">
        <f t="shared" ref="M29:N29" si="21">+A67</f>
        <v>2.8999999999999977</v>
      </c>
      <c r="N29" s="94">
        <f t="shared" si="21"/>
        <v>2.1804000000000001</v>
      </c>
      <c r="O29" s="89">
        <v>22</v>
      </c>
      <c r="P29" s="96">
        <f t="shared" si="5"/>
        <v>65.174999999999898</v>
      </c>
      <c r="Q29" s="89">
        <v>14</v>
      </c>
      <c r="R29" s="97">
        <f t="shared" si="3"/>
        <v>151.08750000000003</v>
      </c>
      <c r="T29"/>
      <c r="U29"/>
    </row>
    <row r="30" spans="1:21">
      <c r="A30" s="94">
        <v>1.0500000000000003</v>
      </c>
      <c r="B30" s="94">
        <v>1.4787999999999999</v>
      </c>
      <c r="C30" s="94">
        <v>0.43440000000000001</v>
      </c>
      <c r="D30" s="94">
        <f t="shared" si="0"/>
        <v>1.0444</v>
      </c>
      <c r="E30" s="94">
        <f t="shared" si="1"/>
        <v>1.9131999999999998</v>
      </c>
      <c r="M30" s="94">
        <f t="shared" ref="M30:N30" si="22">+A68</f>
        <v>2.9499999999999975</v>
      </c>
      <c r="N30" s="94">
        <f t="shared" si="22"/>
        <v>2.1153</v>
      </c>
      <c r="O30" s="89">
        <v>22</v>
      </c>
      <c r="P30" s="96">
        <f t="shared" si="5"/>
        <v>66.274999999999892</v>
      </c>
      <c r="Q30" s="89">
        <v>14</v>
      </c>
      <c r="R30" s="97">
        <f t="shared" si="3"/>
        <v>146.35892857142858</v>
      </c>
    </row>
    <row r="31" spans="1:21">
      <c r="A31" s="94">
        <v>1.1000000000000003</v>
      </c>
      <c r="B31" s="94">
        <v>1.4741</v>
      </c>
      <c r="C31" s="94">
        <v>0.22484999999999999</v>
      </c>
      <c r="D31" s="94">
        <f t="shared" si="0"/>
        <v>1.24925</v>
      </c>
      <c r="E31" s="94">
        <f t="shared" si="1"/>
        <v>1.69895</v>
      </c>
      <c r="M31" s="94">
        <f t="shared" ref="M31:N31" si="23">+A69</f>
        <v>2.9999999999999973</v>
      </c>
      <c r="N31" s="94">
        <f t="shared" si="23"/>
        <v>2.1126999999999998</v>
      </c>
      <c r="O31" s="89">
        <v>22</v>
      </c>
      <c r="P31" s="96">
        <f t="shared" si="5"/>
        <v>67.374999999999886</v>
      </c>
      <c r="Q31" s="89">
        <v>14</v>
      </c>
      <c r="R31" s="97">
        <f t="shared" si="3"/>
        <v>146.09464285714284</v>
      </c>
    </row>
    <row r="32" spans="1:21">
      <c r="A32" s="94">
        <v>1.1500000000000004</v>
      </c>
      <c r="B32" s="94">
        <v>1.4725999999999999</v>
      </c>
      <c r="C32" s="94">
        <v>0.35335000000000005</v>
      </c>
      <c r="D32" s="94">
        <f t="shared" si="0"/>
        <v>1.1192499999999999</v>
      </c>
      <c r="E32" s="94">
        <f t="shared" si="1"/>
        <v>1.82595</v>
      </c>
      <c r="M32" s="94">
        <f t="shared" ref="M32:N32" si="24">+A70</f>
        <v>3.0499999999999972</v>
      </c>
      <c r="N32" s="94">
        <f t="shared" si="24"/>
        <v>2.165</v>
      </c>
      <c r="O32" s="89">
        <v>22</v>
      </c>
      <c r="P32" s="96">
        <f t="shared" si="5"/>
        <v>68.474999999999881</v>
      </c>
      <c r="Q32" s="89">
        <v>14</v>
      </c>
      <c r="R32" s="97">
        <f t="shared" si="3"/>
        <v>149.75178571428572</v>
      </c>
    </row>
    <row r="33" spans="1:18">
      <c r="A33" s="94">
        <v>1.2000000000000004</v>
      </c>
      <c r="B33" s="94">
        <v>1.4755</v>
      </c>
      <c r="C33" s="94">
        <v>0.40849999999999997</v>
      </c>
      <c r="D33" s="94">
        <f t="shared" si="0"/>
        <v>1.0670000000000002</v>
      </c>
      <c r="E33" s="94">
        <f t="shared" si="1"/>
        <v>1.8839999999999999</v>
      </c>
      <c r="M33" s="94">
        <f t="shared" ref="M33:N33" si="25">+A71</f>
        <v>3.099999999999997</v>
      </c>
      <c r="N33" s="94">
        <f t="shared" si="25"/>
        <v>2.1920000000000002</v>
      </c>
      <c r="O33" s="89">
        <v>22</v>
      </c>
      <c r="P33" s="96">
        <f t="shared" si="5"/>
        <v>69.574999999999875</v>
      </c>
      <c r="Q33" s="89">
        <v>14</v>
      </c>
      <c r="R33" s="97">
        <f t="shared" si="3"/>
        <v>151.60178571428574</v>
      </c>
    </row>
    <row r="34" spans="1:18">
      <c r="A34" s="94">
        <v>1.2500000000000004</v>
      </c>
      <c r="B34" s="94">
        <v>1.4729000000000001</v>
      </c>
      <c r="C34" s="94">
        <v>0.37644999999999995</v>
      </c>
      <c r="D34" s="94">
        <f t="shared" si="0"/>
        <v>1.0964500000000001</v>
      </c>
      <c r="E34" s="94">
        <f t="shared" si="1"/>
        <v>1.84935</v>
      </c>
      <c r="M34" s="94">
        <f t="shared" ref="M34:N34" si="26">+A72</f>
        <v>3.1499999999999968</v>
      </c>
      <c r="N34" s="94">
        <f t="shared" si="26"/>
        <v>2.2475999999999998</v>
      </c>
      <c r="O34" s="89">
        <v>22</v>
      </c>
      <c r="P34" s="96">
        <f t="shared" si="5"/>
        <v>70.674999999999869</v>
      </c>
      <c r="Q34" s="89">
        <v>14</v>
      </c>
      <c r="R34" s="97">
        <f t="shared" si="3"/>
        <v>155.49464285714288</v>
      </c>
    </row>
    <row r="35" spans="1:18">
      <c r="A35" s="94">
        <v>1.3000000000000005</v>
      </c>
      <c r="B35" s="94">
        <v>1.4779</v>
      </c>
      <c r="C35" s="94">
        <v>0.32974999999999999</v>
      </c>
      <c r="D35" s="94">
        <f t="shared" si="0"/>
        <v>1.14815</v>
      </c>
      <c r="E35" s="94">
        <f t="shared" si="1"/>
        <v>1.80765</v>
      </c>
      <c r="M35" s="94">
        <f t="shared" ref="M35:N35" si="27">+A73</f>
        <v>3.1999999999999966</v>
      </c>
      <c r="N35" s="94">
        <f t="shared" si="27"/>
        <v>2.2471999999999999</v>
      </c>
      <c r="O35" s="89">
        <v>22</v>
      </c>
      <c r="P35" s="96">
        <f t="shared" si="5"/>
        <v>71.774999999999864</v>
      </c>
      <c r="Q35" s="89">
        <v>14</v>
      </c>
      <c r="R35" s="97">
        <f t="shared" si="3"/>
        <v>155.38750000000002</v>
      </c>
    </row>
    <row r="36" spans="1:18">
      <c r="A36" s="94">
        <v>1.3500000000000005</v>
      </c>
      <c r="B36" s="94">
        <v>1.4710000000000001</v>
      </c>
      <c r="C36" s="94">
        <v>0.30674999999999997</v>
      </c>
      <c r="D36" s="94">
        <f t="shared" si="0"/>
        <v>1.16425</v>
      </c>
      <c r="E36" s="94">
        <f t="shared" si="1"/>
        <v>1.7777500000000002</v>
      </c>
      <c r="M36" s="94">
        <f t="shared" ref="M36:N36" si="28">+A74</f>
        <v>3.2499999999999964</v>
      </c>
      <c r="N36" s="94">
        <f t="shared" si="28"/>
        <v>2.2490000000000001</v>
      </c>
      <c r="O36" s="89">
        <v>22</v>
      </c>
      <c r="P36" s="96">
        <f t="shared" si="5"/>
        <v>72.874999999999858</v>
      </c>
      <c r="Q36" s="89">
        <v>14</v>
      </c>
      <c r="R36" s="97">
        <f t="shared" si="3"/>
        <v>155.4375</v>
      </c>
    </row>
    <row r="37" spans="1:18">
      <c r="A37" s="94">
        <v>1.4000000000000006</v>
      </c>
      <c r="B37" s="94">
        <v>1.4224000000000001</v>
      </c>
      <c r="C37" s="94">
        <v>0.28439999999999999</v>
      </c>
      <c r="D37" s="94">
        <f t="shared" si="0"/>
        <v>1.1380000000000001</v>
      </c>
      <c r="E37" s="94">
        <f t="shared" si="1"/>
        <v>1.7068000000000001</v>
      </c>
      <c r="M37" s="94">
        <f t="shared" ref="M37:N37" si="29">+A75</f>
        <v>3.2999999999999963</v>
      </c>
      <c r="N37" s="94">
        <f t="shared" si="29"/>
        <v>2.2486999999999999</v>
      </c>
      <c r="O37" s="89">
        <v>22</v>
      </c>
      <c r="P37" s="96">
        <f t="shared" si="5"/>
        <v>73.974999999999852</v>
      </c>
      <c r="Q37" s="89">
        <v>14</v>
      </c>
      <c r="R37" s="97">
        <f t="shared" si="3"/>
        <v>155.33750000000001</v>
      </c>
    </row>
    <row r="38" spans="1:18">
      <c r="A38" s="94">
        <v>1.4500000000000006</v>
      </c>
      <c r="B38" s="94">
        <v>1.4219999999999999</v>
      </c>
      <c r="C38" s="94">
        <v>0.24055000000000004</v>
      </c>
      <c r="D38" s="94">
        <f t="shared" si="0"/>
        <v>1.1814499999999999</v>
      </c>
      <c r="E38" s="94">
        <f t="shared" si="1"/>
        <v>1.66255</v>
      </c>
      <c r="M38" s="94">
        <f t="shared" ref="M38:N38" si="30">+A76</f>
        <v>3.3499999999999961</v>
      </c>
      <c r="N38" s="94">
        <f t="shared" si="30"/>
        <v>2.2494000000000001</v>
      </c>
      <c r="O38" s="89">
        <v>22</v>
      </c>
      <c r="P38" s="96">
        <f t="shared" si="5"/>
        <v>75.074999999999847</v>
      </c>
      <c r="Q38" s="89">
        <v>14</v>
      </c>
      <c r="R38" s="97">
        <f t="shared" si="3"/>
        <v>155.30892857142859</v>
      </c>
    </row>
    <row r="39" spans="1:18">
      <c r="A39" s="94">
        <v>1.5000000000000007</v>
      </c>
      <c r="B39" s="94">
        <v>1.4259999999999999</v>
      </c>
      <c r="C39" s="94">
        <v>0.2279500000000001</v>
      </c>
      <c r="D39" s="94">
        <f t="shared" si="0"/>
        <v>1.1980499999999998</v>
      </c>
      <c r="E39" s="94">
        <f t="shared" si="1"/>
        <v>1.65395</v>
      </c>
      <c r="M39" s="94">
        <f t="shared" ref="M39:N39" si="31">+A77</f>
        <v>3.3999999999999959</v>
      </c>
      <c r="N39" s="94">
        <f t="shared" si="31"/>
        <v>2.2534000000000001</v>
      </c>
      <c r="O39" s="89">
        <v>20.6</v>
      </c>
      <c r="P39" s="96">
        <f t="shared" si="5"/>
        <v>76.104999999999848</v>
      </c>
      <c r="Q39" s="89">
        <v>14</v>
      </c>
      <c r="R39" s="97">
        <f t="shared" si="3"/>
        <v>155.52107142857145</v>
      </c>
    </row>
    <row r="40" spans="1:18">
      <c r="A40" s="94">
        <v>1.5500000000000007</v>
      </c>
      <c r="B40" s="94">
        <v>1.4255</v>
      </c>
      <c r="C40" s="94">
        <v>0.21425000000000005</v>
      </c>
      <c r="D40" s="94">
        <f t="shared" si="0"/>
        <v>1.2112499999999999</v>
      </c>
      <c r="E40" s="94">
        <f t="shared" si="1"/>
        <v>1.63975</v>
      </c>
      <c r="M40" s="94">
        <f>+A78</f>
        <v>3.4499999999999957</v>
      </c>
      <c r="N40" s="94">
        <f>+B78</f>
        <v>2.2551000000000001</v>
      </c>
      <c r="O40" s="89">
        <v>20.6</v>
      </c>
      <c r="P40" s="96">
        <f t="shared" si="5"/>
        <v>77.134999999999849</v>
      </c>
      <c r="Q40" s="89">
        <v>14</v>
      </c>
      <c r="R40" s="97">
        <f t="shared" si="3"/>
        <v>155.56892857142859</v>
      </c>
    </row>
    <row r="41" spans="1:18">
      <c r="A41" s="94">
        <v>1.6000000000000008</v>
      </c>
      <c r="B41" s="94">
        <v>1.4239999999999999</v>
      </c>
      <c r="C41" s="94">
        <v>0.21314999999999995</v>
      </c>
      <c r="D41" s="94">
        <f t="shared" si="0"/>
        <v>1.21085</v>
      </c>
      <c r="E41" s="94">
        <f t="shared" si="1"/>
        <v>1.6371499999999999</v>
      </c>
      <c r="M41" s="94">
        <f t="shared" ref="M41:M48" si="32">+A79</f>
        <v>3.4999999999999956</v>
      </c>
      <c r="N41" s="94">
        <f t="shared" ref="N41:N48" si="33">+B79</f>
        <v>2.2504</v>
      </c>
      <c r="O41" s="89">
        <v>20.6</v>
      </c>
      <c r="P41" s="96">
        <f t="shared" si="5"/>
        <v>78.16499999999985</v>
      </c>
      <c r="Q41" s="89">
        <v>14</v>
      </c>
      <c r="R41" s="97">
        <f t="shared" si="3"/>
        <v>155.15964285714287</v>
      </c>
    </row>
    <row r="42" spans="1:18">
      <c r="A42" s="94">
        <v>1.6500000000000008</v>
      </c>
      <c r="B42" s="94">
        <v>1.371</v>
      </c>
      <c r="C42" s="94">
        <v>0.16769999999999996</v>
      </c>
      <c r="D42" s="94">
        <f t="shared" si="0"/>
        <v>1.2033</v>
      </c>
      <c r="E42" s="94">
        <f t="shared" si="1"/>
        <v>1.5387</v>
      </c>
      <c r="M42" s="94">
        <f t="shared" si="32"/>
        <v>3.5499999999999954</v>
      </c>
      <c r="N42" s="94">
        <f t="shared" si="33"/>
        <v>2.2456</v>
      </c>
      <c r="O42" s="89">
        <v>20.6</v>
      </c>
      <c r="P42" s="96">
        <f t="shared" si="5"/>
        <v>79.194999999999851</v>
      </c>
      <c r="Q42" s="89">
        <v>14</v>
      </c>
      <c r="R42" s="97">
        <f t="shared" si="3"/>
        <v>154.74321428571429</v>
      </c>
    </row>
    <row r="43" spans="1:18">
      <c r="A43" s="94">
        <v>1.7000000000000008</v>
      </c>
      <c r="B43" s="94">
        <v>1.3729</v>
      </c>
      <c r="C43" s="94">
        <v>0.11950000000000005</v>
      </c>
      <c r="D43" s="94">
        <f t="shared" si="0"/>
        <v>1.2534000000000001</v>
      </c>
      <c r="E43" s="94">
        <f t="shared" si="1"/>
        <v>1.4923999999999999</v>
      </c>
      <c r="M43" s="94">
        <f t="shared" si="32"/>
        <v>3.5999999999999952</v>
      </c>
      <c r="N43" s="94">
        <f t="shared" si="33"/>
        <v>2.1937000000000002</v>
      </c>
      <c r="O43" s="89">
        <v>20.6</v>
      </c>
      <c r="P43" s="96">
        <f t="shared" si="5"/>
        <v>80.224999999999852</v>
      </c>
      <c r="Q43" s="89">
        <v>14</v>
      </c>
      <c r="R43" s="97">
        <f t="shared" si="3"/>
        <v>150.96250000000003</v>
      </c>
    </row>
    <row r="44" spans="1:18">
      <c r="A44" s="94">
        <v>1.7500000000000009</v>
      </c>
      <c r="B44" s="94">
        <v>1.3713</v>
      </c>
      <c r="C44" s="94">
        <v>0.19840000000000002</v>
      </c>
      <c r="D44" s="94">
        <f t="shared" si="0"/>
        <v>1.1728999999999998</v>
      </c>
      <c r="E44" s="94">
        <f t="shared" si="1"/>
        <v>1.5697000000000001</v>
      </c>
      <c r="M44" s="94">
        <f t="shared" si="32"/>
        <v>3.649999999999995</v>
      </c>
      <c r="N44" s="94">
        <f t="shared" si="33"/>
        <v>2.1909999999999998</v>
      </c>
      <c r="O44" s="89">
        <v>20.6</v>
      </c>
      <c r="P44" s="96">
        <f t="shared" si="5"/>
        <v>81.254999999999853</v>
      </c>
      <c r="Q44" s="89">
        <v>14</v>
      </c>
      <c r="R44" s="97">
        <f t="shared" si="3"/>
        <v>150.69607142857146</v>
      </c>
    </row>
    <row r="45" spans="1:18">
      <c r="A45" s="94">
        <v>1.8000000000000009</v>
      </c>
      <c r="B45" s="94">
        <v>1.4225000000000001</v>
      </c>
      <c r="C45" s="94">
        <v>0.29435</v>
      </c>
      <c r="D45" s="94">
        <f t="shared" si="0"/>
        <v>1.1281500000000002</v>
      </c>
      <c r="E45" s="94">
        <f t="shared" si="1"/>
        <v>1.71685</v>
      </c>
      <c r="M45" s="94">
        <f t="shared" si="32"/>
        <v>3.6999999999999948</v>
      </c>
      <c r="N45" s="94">
        <f t="shared" si="33"/>
        <v>2.1412</v>
      </c>
      <c r="O45" s="89">
        <v>20.6</v>
      </c>
      <c r="P45" s="96">
        <f t="shared" si="5"/>
        <v>82.284999999999854</v>
      </c>
      <c r="Q45" s="89">
        <v>14</v>
      </c>
      <c r="R45" s="97">
        <f t="shared" si="3"/>
        <v>147.06535714285715</v>
      </c>
    </row>
    <row r="46" spans="1:18">
      <c r="A46" s="94">
        <v>1.850000000000001</v>
      </c>
      <c r="B46" s="94">
        <v>1.4474</v>
      </c>
      <c r="C46" s="94">
        <v>0.29374999999999996</v>
      </c>
      <c r="D46" s="94">
        <f t="shared" si="0"/>
        <v>1.1536500000000001</v>
      </c>
      <c r="E46" s="94">
        <f t="shared" si="1"/>
        <v>1.74115</v>
      </c>
      <c r="M46" s="94">
        <f t="shared" si="32"/>
        <v>3.7499999999999947</v>
      </c>
      <c r="N46" s="94">
        <f t="shared" si="33"/>
        <v>2.1463000000000001</v>
      </c>
      <c r="O46" s="89">
        <v>20.6</v>
      </c>
      <c r="P46" s="96">
        <f t="shared" si="5"/>
        <v>83.314999999999856</v>
      </c>
      <c r="Q46" s="89">
        <v>14</v>
      </c>
      <c r="R46" s="97">
        <f t="shared" si="3"/>
        <v>147.35607142857143</v>
      </c>
    </row>
    <row r="47" spans="1:18">
      <c r="A47" s="94">
        <v>1.900000000000001</v>
      </c>
      <c r="B47" s="94">
        <v>1.5074000000000001</v>
      </c>
      <c r="C47" s="94">
        <v>0.28935</v>
      </c>
      <c r="D47" s="94">
        <f t="shared" si="0"/>
        <v>1.2180500000000001</v>
      </c>
      <c r="E47" s="94">
        <f t="shared" si="1"/>
        <v>1.7967500000000001</v>
      </c>
      <c r="M47" s="94">
        <f t="shared" si="32"/>
        <v>3.7999999999999945</v>
      </c>
      <c r="N47" s="94">
        <f t="shared" si="33"/>
        <v>2.2183999999999999</v>
      </c>
      <c r="O47" s="89">
        <v>21.2</v>
      </c>
      <c r="P47" s="96">
        <f t="shared" si="5"/>
        <v>84.374999999999858</v>
      </c>
      <c r="Q47" s="89">
        <v>14</v>
      </c>
      <c r="R47" s="97">
        <f t="shared" si="3"/>
        <v>152.43035714285716</v>
      </c>
    </row>
    <row r="48" spans="1:18">
      <c r="A48" s="94">
        <v>1.9500000000000011</v>
      </c>
      <c r="B48" s="94">
        <v>1.5104</v>
      </c>
      <c r="C48" s="94">
        <v>0.27565000000000006</v>
      </c>
      <c r="D48" s="94">
        <f t="shared" si="0"/>
        <v>1.23475</v>
      </c>
      <c r="E48" s="94">
        <f t="shared" si="1"/>
        <v>1.7860499999999999</v>
      </c>
      <c r="M48" s="94">
        <f t="shared" si="32"/>
        <v>3.8499999999999943</v>
      </c>
      <c r="N48" s="94">
        <f t="shared" si="33"/>
        <v>2.2608999999999999</v>
      </c>
      <c r="O48" s="89">
        <v>21.2</v>
      </c>
      <c r="P48" s="96">
        <f t="shared" si="5"/>
        <v>85.43499999999986</v>
      </c>
      <c r="Q48" s="89">
        <v>14</v>
      </c>
      <c r="R48" s="97">
        <f t="shared" si="3"/>
        <v>155.39035714285714</v>
      </c>
    </row>
    <row r="49" spans="1:18">
      <c r="A49" s="94">
        <v>2.0000000000000009</v>
      </c>
      <c r="B49" s="94">
        <v>1.5088999999999999</v>
      </c>
      <c r="C49" s="94">
        <v>0.29374999999999996</v>
      </c>
      <c r="D49" s="94">
        <f t="shared" si="0"/>
        <v>1.21515</v>
      </c>
      <c r="E49" s="94">
        <f t="shared" si="1"/>
        <v>1.8026499999999999</v>
      </c>
      <c r="M49" s="94">
        <f>+A87</f>
        <v>3.8999999999999941</v>
      </c>
      <c r="N49" s="94">
        <f>+B87</f>
        <v>2.2254</v>
      </c>
      <c r="O49" s="89">
        <v>21.2</v>
      </c>
      <c r="P49" s="96">
        <f t="shared" si="5"/>
        <v>86.494999999999862</v>
      </c>
      <c r="Q49" s="89">
        <v>14</v>
      </c>
      <c r="R49" s="97">
        <f t="shared" si="3"/>
        <v>152.77892857142859</v>
      </c>
    </row>
    <row r="50" spans="1:18">
      <c r="A50" s="94">
        <v>2.0500000000000007</v>
      </c>
      <c r="B50" s="94">
        <v>1.4678</v>
      </c>
      <c r="C50" s="94">
        <v>0.31735000000000002</v>
      </c>
      <c r="D50" s="94">
        <f t="shared" si="0"/>
        <v>1.15045</v>
      </c>
      <c r="E50" s="94">
        <f t="shared" si="1"/>
        <v>1.78515</v>
      </c>
      <c r="M50" s="94">
        <f t="shared" ref="M50:M51" si="34">+A88</f>
        <v>3.949999999999994</v>
      </c>
      <c r="N50" s="94">
        <f t="shared" ref="N50:N51" si="35">+B88</f>
        <v>2.2019000000000002</v>
      </c>
      <c r="O50" s="89">
        <v>21.2</v>
      </c>
      <c r="P50" s="96">
        <f t="shared" si="5"/>
        <v>87.554999999999865</v>
      </c>
      <c r="Q50" s="89">
        <v>14</v>
      </c>
      <c r="R50" s="97">
        <f t="shared" si="3"/>
        <v>151.02464285714288</v>
      </c>
    </row>
    <row r="51" spans="1:18">
      <c r="A51" s="94">
        <v>2.1000000000000005</v>
      </c>
      <c r="B51" s="94">
        <v>1.5421</v>
      </c>
      <c r="C51" s="94">
        <v>0.35465000000000002</v>
      </c>
      <c r="D51" s="94">
        <f t="shared" si="0"/>
        <v>1.1874500000000001</v>
      </c>
      <c r="E51" s="94">
        <f t="shared" si="1"/>
        <v>1.8967499999999999</v>
      </c>
      <c r="M51" s="94">
        <f t="shared" si="34"/>
        <v>3.9999999999999938</v>
      </c>
      <c r="N51" s="94">
        <f t="shared" si="35"/>
        <v>2.2134999999999998</v>
      </c>
      <c r="O51" s="89">
        <v>21.2</v>
      </c>
      <c r="P51" s="96">
        <f t="shared" si="5"/>
        <v>88.614999999999867</v>
      </c>
      <c r="Q51" s="89">
        <v>14</v>
      </c>
      <c r="R51" s="97">
        <f t="shared" si="3"/>
        <v>151.7775</v>
      </c>
    </row>
    <row r="52" spans="1:18">
      <c r="A52" s="94">
        <v>2.1500000000000004</v>
      </c>
      <c r="B52" s="94">
        <v>1.6536999999999999</v>
      </c>
      <c r="C52" s="94">
        <v>0.36829999999999996</v>
      </c>
      <c r="D52" s="94">
        <f t="shared" si="0"/>
        <v>1.2854000000000001</v>
      </c>
      <c r="E52" s="94">
        <f t="shared" si="1"/>
        <v>2.0219999999999998</v>
      </c>
    </row>
    <row r="53" spans="1:18">
      <c r="A53" s="94">
        <v>2.2000000000000002</v>
      </c>
      <c r="B53" s="94">
        <v>1.7444</v>
      </c>
      <c r="C53" s="94">
        <v>0.35514999999999997</v>
      </c>
      <c r="D53" s="94">
        <f t="shared" si="0"/>
        <v>1.3892500000000001</v>
      </c>
      <c r="E53" s="94">
        <f t="shared" si="1"/>
        <v>2.0995499999999998</v>
      </c>
    </row>
    <row r="54" spans="1:18">
      <c r="A54" s="94">
        <v>2.25</v>
      </c>
      <c r="B54" s="94">
        <v>1.8440000000000001</v>
      </c>
      <c r="C54" s="94">
        <v>0.46745000000000003</v>
      </c>
      <c r="D54" s="94">
        <f t="shared" si="0"/>
        <v>1.3765499999999999</v>
      </c>
      <c r="E54" s="94">
        <f t="shared" si="1"/>
        <v>2.3114500000000002</v>
      </c>
    </row>
    <row r="55" spans="1:18">
      <c r="A55" s="94">
        <v>2.2999999999999998</v>
      </c>
      <c r="B55" s="94">
        <v>1.7338</v>
      </c>
      <c r="C55" s="94">
        <v>0.55575000000000008</v>
      </c>
      <c r="D55" s="94">
        <f t="shared" si="0"/>
        <v>1.1780499999999998</v>
      </c>
      <c r="E55" s="94">
        <f t="shared" si="1"/>
        <v>2.2895500000000002</v>
      </c>
    </row>
    <row r="56" spans="1:18">
      <c r="A56" s="94">
        <v>2.3499999999999996</v>
      </c>
      <c r="B56" s="94">
        <v>1.6796</v>
      </c>
      <c r="C56" s="94">
        <v>0.56559999999999999</v>
      </c>
      <c r="D56" s="94">
        <f t="shared" si="0"/>
        <v>1.1139999999999999</v>
      </c>
      <c r="E56" s="94">
        <f t="shared" si="1"/>
        <v>2.2452000000000001</v>
      </c>
    </row>
    <row r="57" spans="1:18">
      <c r="A57" s="94">
        <v>2.3999999999999995</v>
      </c>
      <c r="B57" s="94">
        <v>1.6474</v>
      </c>
      <c r="C57" s="94">
        <v>0.50474999999999992</v>
      </c>
      <c r="D57" s="94">
        <f t="shared" si="0"/>
        <v>1.1426500000000002</v>
      </c>
      <c r="E57" s="94">
        <f t="shared" si="1"/>
        <v>2.1521499999999998</v>
      </c>
    </row>
    <row r="58" spans="1:18">
      <c r="A58" s="94">
        <v>2.4499999999999993</v>
      </c>
      <c r="B58" s="94">
        <v>1.5965</v>
      </c>
      <c r="C58" s="94">
        <v>0.45660000000000012</v>
      </c>
      <c r="D58" s="94">
        <f t="shared" si="0"/>
        <v>1.1398999999999999</v>
      </c>
      <c r="E58" s="94">
        <f t="shared" si="1"/>
        <v>2.0531000000000001</v>
      </c>
    </row>
    <row r="59" spans="1:18">
      <c r="A59" s="94">
        <v>2.4999999999999991</v>
      </c>
      <c r="B59" s="94">
        <v>1.7004999999999999</v>
      </c>
      <c r="C59" s="94">
        <v>0.52675000000000005</v>
      </c>
      <c r="D59" s="94">
        <f t="shared" si="0"/>
        <v>1.1737499999999998</v>
      </c>
      <c r="E59" s="94">
        <f t="shared" si="1"/>
        <v>2.2272499999999997</v>
      </c>
    </row>
    <row r="60" spans="1:18">
      <c r="A60" s="94">
        <v>2.5499999999999989</v>
      </c>
      <c r="B60" s="94">
        <v>1.7966</v>
      </c>
      <c r="C60" s="94">
        <v>0.57714999999999994</v>
      </c>
      <c r="D60" s="94">
        <f t="shared" si="0"/>
        <v>1.2194500000000001</v>
      </c>
      <c r="E60" s="94">
        <f t="shared" si="1"/>
        <v>2.3737499999999998</v>
      </c>
    </row>
    <row r="61" spans="1:18">
      <c r="A61" s="94">
        <v>2.5999999999999988</v>
      </c>
      <c r="B61" s="94">
        <v>1.8467</v>
      </c>
      <c r="C61" s="94">
        <v>0.61714999999999998</v>
      </c>
      <c r="D61" s="94">
        <f t="shared" si="0"/>
        <v>1.2295500000000001</v>
      </c>
      <c r="E61" s="94">
        <f t="shared" si="1"/>
        <v>2.4638499999999999</v>
      </c>
    </row>
    <row r="62" spans="1:18">
      <c r="A62" s="94">
        <v>2.6499999999999986</v>
      </c>
      <c r="B62" s="94">
        <v>1.8541000000000001</v>
      </c>
      <c r="C62" s="94">
        <v>0.5946499999999999</v>
      </c>
      <c r="D62" s="94">
        <f t="shared" si="0"/>
        <v>1.2594500000000002</v>
      </c>
      <c r="E62" s="94">
        <f t="shared" si="1"/>
        <v>2.44875</v>
      </c>
    </row>
    <row r="63" spans="1:18">
      <c r="A63" s="94">
        <v>2.6999999999999984</v>
      </c>
      <c r="B63" s="94">
        <v>1.8724000000000001</v>
      </c>
      <c r="C63" s="94">
        <v>0.5645</v>
      </c>
      <c r="D63" s="94">
        <f t="shared" si="0"/>
        <v>1.3079000000000001</v>
      </c>
      <c r="E63" s="94">
        <f t="shared" si="1"/>
        <v>2.4369000000000001</v>
      </c>
    </row>
    <row r="64" spans="1:18">
      <c r="A64" s="94">
        <v>2.7499999999999982</v>
      </c>
      <c r="B64" s="94">
        <v>2.0246</v>
      </c>
      <c r="C64" s="94">
        <v>0.66205000000000003</v>
      </c>
      <c r="D64" s="94">
        <f t="shared" si="0"/>
        <v>1.3625499999999999</v>
      </c>
      <c r="E64" s="94">
        <f t="shared" si="1"/>
        <v>2.6866500000000002</v>
      </c>
    </row>
    <row r="65" spans="1:5">
      <c r="A65" s="94">
        <v>2.799999999999998</v>
      </c>
      <c r="B65" s="94">
        <v>2.1669</v>
      </c>
      <c r="C65" s="94">
        <v>0.75464999999999993</v>
      </c>
      <c r="D65" s="94">
        <f t="shared" si="0"/>
        <v>1.4122500000000002</v>
      </c>
      <c r="E65" s="94">
        <f t="shared" si="1"/>
        <v>2.9215499999999999</v>
      </c>
    </row>
    <row r="66" spans="1:5">
      <c r="A66" s="94">
        <v>2.8499999999999979</v>
      </c>
      <c r="B66" s="94">
        <v>2.3311999999999999</v>
      </c>
      <c r="C66" s="94">
        <v>0.78805000000000003</v>
      </c>
      <c r="D66" s="94">
        <f t="shared" si="0"/>
        <v>1.5431499999999998</v>
      </c>
      <c r="E66" s="94">
        <f t="shared" si="1"/>
        <v>3.1192500000000001</v>
      </c>
    </row>
    <row r="67" spans="1:5">
      <c r="A67" s="94">
        <v>2.8999999999999977</v>
      </c>
      <c r="B67" s="94">
        <v>2.1804000000000001</v>
      </c>
      <c r="C67" s="94">
        <v>0.61709999999999998</v>
      </c>
      <c r="D67" s="94">
        <f t="shared" si="0"/>
        <v>1.5633000000000001</v>
      </c>
      <c r="E67" s="94">
        <f t="shared" si="1"/>
        <v>2.7975000000000003</v>
      </c>
    </row>
    <row r="68" spans="1:5">
      <c r="A68" s="94">
        <v>2.9499999999999975</v>
      </c>
      <c r="B68" s="94">
        <v>2.1153</v>
      </c>
      <c r="C68" s="94">
        <v>0.45434999999999992</v>
      </c>
      <c r="D68" s="94">
        <f t="shared" si="0"/>
        <v>1.6609500000000001</v>
      </c>
      <c r="E68" s="94">
        <f t="shared" si="1"/>
        <v>2.5696499999999998</v>
      </c>
    </row>
    <row r="69" spans="1:5">
      <c r="A69" s="94">
        <v>2.9999999999999973</v>
      </c>
      <c r="B69" s="94">
        <v>2.1126999999999998</v>
      </c>
      <c r="C69" s="94">
        <v>0.44070000000000009</v>
      </c>
      <c r="D69" s="94">
        <f t="shared" si="0"/>
        <v>1.6719999999999997</v>
      </c>
      <c r="E69" s="94">
        <f t="shared" si="1"/>
        <v>2.5533999999999999</v>
      </c>
    </row>
    <row r="70" spans="1:5">
      <c r="A70" s="94">
        <v>3.0499999999999972</v>
      </c>
      <c r="B70" s="94">
        <v>2.165</v>
      </c>
      <c r="C70" s="94">
        <v>0.43900000000000006</v>
      </c>
      <c r="D70" s="94">
        <f t="shared" si="0"/>
        <v>1.726</v>
      </c>
      <c r="E70" s="94">
        <f t="shared" si="1"/>
        <v>2.6040000000000001</v>
      </c>
    </row>
    <row r="71" spans="1:5">
      <c r="A71" s="94">
        <v>3.099999999999997</v>
      </c>
      <c r="B71" s="94">
        <v>2.1920000000000002</v>
      </c>
      <c r="C71" s="94">
        <v>0.41105000000000003</v>
      </c>
      <c r="D71" s="94">
        <f t="shared" si="0"/>
        <v>1.7809500000000003</v>
      </c>
      <c r="E71" s="94">
        <f t="shared" si="1"/>
        <v>2.6030500000000001</v>
      </c>
    </row>
    <row r="72" spans="1:5">
      <c r="A72" s="94">
        <v>3.1499999999999968</v>
      </c>
      <c r="B72" s="94">
        <v>2.2475999999999998</v>
      </c>
      <c r="C72" s="94">
        <v>0.33820000000000006</v>
      </c>
      <c r="D72" s="94">
        <f t="shared" si="0"/>
        <v>1.9093999999999998</v>
      </c>
      <c r="E72" s="94">
        <f t="shared" si="1"/>
        <v>2.5857999999999999</v>
      </c>
    </row>
    <row r="73" spans="1:5">
      <c r="A73" s="94">
        <v>3.1999999999999966</v>
      </c>
      <c r="B73" s="94">
        <v>2.2471999999999999</v>
      </c>
      <c r="C73" s="94">
        <v>0.27024999999999999</v>
      </c>
      <c r="D73" s="94">
        <f t="shared" ref="D73:D136" si="36">MAX(0,(B73-C73))</f>
        <v>1.97695</v>
      </c>
      <c r="E73" s="94">
        <f t="shared" ref="E73:E136" si="37">B73+C73</f>
        <v>2.5174499999999997</v>
      </c>
    </row>
    <row r="74" spans="1:5">
      <c r="A74" s="94">
        <v>3.2499999999999964</v>
      </c>
      <c r="B74" s="94">
        <v>2.2490000000000001</v>
      </c>
      <c r="C74" s="94">
        <v>0.20395000000000008</v>
      </c>
      <c r="D74" s="94">
        <f t="shared" si="36"/>
        <v>2.0450499999999998</v>
      </c>
      <c r="E74" s="94">
        <f t="shared" si="37"/>
        <v>2.4529500000000004</v>
      </c>
    </row>
    <row r="75" spans="1:5">
      <c r="A75" s="94">
        <v>3.2999999999999963</v>
      </c>
      <c r="B75" s="94">
        <v>2.2486999999999999</v>
      </c>
      <c r="C75" s="94">
        <v>0.17379999999999995</v>
      </c>
      <c r="D75" s="94">
        <f t="shared" si="36"/>
        <v>2.0749</v>
      </c>
      <c r="E75" s="94">
        <f t="shared" si="37"/>
        <v>2.4224999999999999</v>
      </c>
    </row>
    <row r="76" spans="1:5">
      <c r="A76" s="94">
        <v>3.3499999999999961</v>
      </c>
      <c r="B76" s="94">
        <v>2.2494000000000001</v>
      </c>
      <c r="C76" s="94">
        <v>0.20504999999999995</v>
      </c>
      <c r="D76" s="94">
        <f t="shared" si="36"/>
        <v>2.0443500000000001</v>
      </c>
      <c r="E76" s="94">
        <f t="shared" si="37"/>
        <v>2.45445</v>
      </c>
    </row>
    <row r="77" spans="1:5">
      <c r="A77" s="94">
        <v>3.3999999999999959</v>
      </c>
      <c r="B77" s="94">
        <v>2.2534000000000001</v>
      </c>
      <c r="C77" s="94">
        <v>0.2319</v>
      </c>
      <c r="D77" s="94">
        <f t="shared" si="36"/>
        <v>2.0215000000000001</v>
      </c>
      <c r="E77" s="94">
        <f t="shared" si="37"/>
        <v>2.4853000000000001</v>
      </c>
    </row>
    <row r="78" spans="1:5">
      <c r="A78" s="94">
        <v>3.4499999999999957</v>
      </c>
      <c r="B78" s="94">
        <v>2.2551000000000001</v>
      </c>
      <c r="C78" s="94">
        <v>0.30045000000000011</v>
      </c>
      <c r="D78" s="94">
        <f t="shared" si="36"/>
        <v>1.95465</v>
      </c>
      <c r="E78" s="94">
        <f t="shared" si="37"/>
        <v>2.5555500000000002</v>
      </c>
    </row>
    <row r="79" spans="1:5">
      <c r="A79" s="94">
        <v>3.4999999999999956</v>
      </c>
      <c r="B79" s="94">
        <v>2.2504</v>
      </c>
      <c r="C79" s="94">
        <v>0.29775000000000007</v>
      </c>
      <c r="D79" s="94">
        <f t="shared" si="36"/>
        <v>1.9526499999999998</v>
      </c>
      <c r="E79" s="94">
        <f t="shared" si="37"/>
        <v>2.5481500000000001</v>
      </c>
    </row>
    <row r="80" spans="1:5">
      <c r="A80" s="94">
        <v>3.5499999999999954</v>
      </c>
      <c r="B80" s="94">
        <v>2.2456</v>
      </c>
      <c r="C80" s="94">
        <v>0.29605000000000004</v>
      </c>
      <c r="D80" s="94">
        <f t="shared" si="36"/>
        <v>1.9495499999999999</v>
      </c>
      <c r="E80" s="94">
        <f t="shared" si="37"/>
        <v>2.5416500000000002</v>
      </c>
    </row>
    <row r="81" spans="1:5">
      <c r="A81" s="94">
        <v>3.5999999999999952</v>
      </c>
      <c r="B81" s="94">
        <v>2.1937000000000002</v>
      </c>
      <c r="C81" s="94">
        <v>0.30705000000000005</v>
      </c>
      <c r="D81" s="94">
        <f t="shared" si="36"/>
        <v>1.8866500000000002</v>
      </c>
      <c r="E81" s="94">
        <f t="shared" si="37"/>
        <v>2.50075</v>
      </c>
    </row>
    <row r="82" spans="1:5">
      <c r="A82" s="94">
        <v>3.649999999999995</v>
      </c>
      <c r="B82" s="94">
        <v>2.1909999999999998</v>
      </c>
      <c r="C82" s="94">
        <v>0.35420000000000007</v>
      </c>
      <c r="D82" s="94">
        <f t="shared" si="36"/>
        <v>1.8367999999999998</v>
      </c>
      <c r="E82" s="94">
        <f t="shared" si="37"/>
        <v>2.5451999999999999</v>
      </c>
    </row>
    <row r="83" spans="1:5">
      <c r="A83" s="94">
        <v>3.6999999999999948</v>
      </c>
      <c r="B83" s="94">
        <v>2.1412</v>
      </c>
      <c r="C83" s="94">
        <v>0.40295000000000003</v>
      </c>
      <c r="D83" s="94">
        <f t="shared" si="36"/>
        <v>1.7382499999999999</v>
      </c>
      <c r="E83" s="94">
        <f t="shared" si="37"/>
        <v>2.5441500000000001</v>
      </c>
    </row>
    <row r="84" spans="1:5">
      <c r="A84" s="94">
        <v>3.7499999999999947</v>
      </c>
      <c r="B84" s="94">
        <v>2.1463000000000001</v>
      </c>
      <c r="C84" s="94">
        <v>0.3569500000000001</v>
      </c>
      <c r="D84" s="94">
        <f t="shared" si="36"/>
        <v>1.78935</v>
      </c>
      <c r="E84" s="94">
        <f t="shared" si="37"/>
        <v>2.5032500000000004</v>
      </c>
    </row>
    <row r="85" spans="1:5">
      <c r="A85" s="94">
        <v>3.7999999999999945</v>
      </c>
      <c r="B85" s="94">
        <v>2.2183999999999999</v>
      </c>
      <c r="C85" s="94">
        <v>0.27095000000000014</v>
      </c>
      <c r="D85" s="94">
        <f t="shared" si="36"/>
        <v>1.9474499999999999</v>
      </c>
      <c r="E85" s="94">
        <f t="shared" si="37"/>
        <v>2.48935</v>
      </c>
    </row>
    <row r="86" spans="1:5">
      <c r="A86" s="94">
        <v>3.8499999999999943</v>
      </c>
      <c r="B86" s="94">
        <v>2.2608999999999999</v>
      </c>
      <c r="C86" s="94">
        <v>0.19584999999999986</v>
      </c>
      <c r="D86" s="94">
        <f t="shared" si="36"/>
        <v>2.0650500000000003</v>
      </c>
      <c r="E86" s="94">
        <f t="shared" si="37"/>
        <v>2.4567499999999995</v>
      </c>
    </row>
    <row r="87" spans="1:5">
      <c r="A87" s="94">
        <v>3.8999999999999941</v>
      </c>
      <c r="B87" s="94">
        <v>2.2254</v>
      </c>
      <c r="C87" s="94">
        <v>0.24135000000000006</v>
      </c>
      <c r="D87" s="94">
        <f t="shared" si="36"/>
        <v>1.9840499999999999</v>
      </c>
      <c r="E87" s="94">
        <f t="shared" si="37"/>
        <v>2.4667500000000002</v>
      </c>
    </row>
    <row r="88" spans="1:5">
      <c r="A88" s="94">
        <v>3.949999999999994</v>
      </c>
      <c r="B88" s="94">
        <v>2.2019000000000002</v>
      </c>
      <c r="C88" s="94">
        <v>0.30659999999999998</v>
      </c>
      <c r="D88" s="94">
        <f t="shared" si="36"/>
        <v>1.8953000000000002</v>
      </c>
      <c r="E88" s="94">
        <f t="shared" si="37"/>
        <v>2.5085000000000002</v>
      </c>
    </row>
    <row r="89" spans="1:5">
      <c r="A89" s="94">
        <v>3.9999999999999938</v>
      </c>
      <c r="B89" s="94">
        <v>2.2134999999999998</v>
      </c>
      <c r="C89" s="94">
        <v>0.35589999999999999</v>
      </c>
      <c r="D89" s="94">
        <f t="shared" si="36"/>
        <v>1.8575999999999997</v>
      </c>
      <c r="E89" s="94">
        <f t="shared" si="37"/>
        <v>2.5693999999999999</v>
      </c>
    </row>
    <row r="90" spans="1:5">
      <c r="A90" s="94">
        <v>4.0499999999999936</v>
      </c>
      <c r="B90" s="94">
        <v>2.1539000000000001</v>
      </c>
      <c r="C90" s="94">
        <v>0.43375000000000008</v>
      </c>
      <c r="D90" s="94">
        <f t="shared" si="36"/>
        <v>1.7201500000000001</v>
      </c>
      <c r="E90" s="94">
        <f t="shared" si="37"/>
        <v>2.58765</v>
      </c>
    </row>
    <row r="91" spans="1:5">
      <c r="A91" s="94">
        <v>4.0999999999999934</v>
      </c>
      <c r="B91" s="94">
        <v>2.1613000000000002</v>
      </c>
      <c r="C91" s="94">
        <v>0.51869999999999994</v>
      </c>
      <c r="D91" s="94">
        <f t="shared" si="36"/>
        <v>1.6426000000000003</v>
      </c>
      <c r="E91" s="94">
        <f t="shared" si="37"/>
        <v>2.68</v>
      </c>
    </row>
    <row r="92" spans="1:5">
      <c r="A92" s="94">
        <v>4.1499999999999932</v>
      </c>
      <c r="B92" s="94">
        <v>2.2399</v>
      </c>
      <c r="C92" s="94">
        <v>0.58935000000000004</v>
      </c>
      <c r="D92" s="94">
        <f t="shared" si="36"/>
        <v>1.65055</v>
      </c>
      <c r="E92" s="94">
        <f t="shared" si="37"/>
        <v>2.82925</v>
      </c>
    </row>
    <row r="93" spans="1:5">
      <c r="A93" s="94">
        <v>4.1999999999999931</v>
      </c>
      <c r="B93" s="94">
        <v>2.3087</v>
      </c>
      <c r="C93" s="94">
        <v>0.73569999999999991</v>
      </c>
      <c r="D93" s="94">
        <f t="shared" si="36"/>
        <v>1.573</v>
      </c>
      <c r="E93" s="94">
        <f t="shared" si="37"/>
        <v>3.0444</v>
      </c>
    </row>
    <row r="94" spans="1:5">
      <c r="A94" s="94">
        <v>4.2499999999999929</v>
      </c>
      <c r="B94" s="94">
        <v>2.3542999999999998</v>
      </c>
      <c r="C94" s="94">
        <v>0.77789999999999992</v>
      </c>
      <c r="D94" s="94">
        <f t="shared" si="36"/>
        <v>1.5764</v>
      </c>
      <c r="E94" s="94">
        <f t="shared" si="37"/>
        <v>3.1321999999999997</v>
      </c>
    </row>
    <row r="95" spans="1:5">
      <c r="A95" s="94">
        <v>4.2999999999999927</v>
      </c>
      <c r="B95" s="94">
        <v>2.4121999999999999</v>
      </c>
      <c r="C95" s="94">
        <v>0.73459999999999992</v>
      </c>
      <c r="D95" s="94">
        <f t="shared" si="36"/>
        <v>1.6776</v>
      </c>
      <c r="E95" s="94">
        <f t="shared" si="37"/>
        <v>3.1467999999999998</v>
      </c>
    </row>
    <row r="96" spans="1:5">
      <c r="A96" s="94">
        <v>4.3499999999999925</v>
      </c>
      <c r="B96" s="94">
        <v>2.4634</v>
      </c>
      <c r="C96" s="94">
        <v>0.77734999999999987</v>
      </c>
      <c r="D96" s="94">
        <f t="shared" si="36"/>
        <v>1.6860500000000003</v>
      </c>
      <c r="E96" s="94">
        <f t="shared" si="37"/>
        <v>3.2407499999999998</v>
      </c>
    </row>
    <row r="97" spans="1:5">
      <c r="A97" s="94">
        <v>4.3999999999999924</v>
      </c>
      <c r="B97" s="94">
        <v>2.3477999999999999</v>
      </c>
      <c r="C97" s="94">
        <v>0.86009999999999998</v>
      </c>
      <c r="D97" s="94">
        <f t="shared" si="36"/>
        <v>1.4876999999999998</v>
      </c>
      <c r="E97" s="94">
        <f t="shared" si="37"/>
        <v>3.2079</v>
      </c>
    </row>
    <row r="98" spans="1:5">
      <c r="A98" s="94">
        <v>4.4499999999999922</v>
      </c>
      <c r="B98" s="94">
        <v>2.2892000000000001</v>
      </c>
      <c r="C98" s="94">
        <v>1.0037499999999999</v>
      </c>
      <c r="D98" s="94">
        <f t="shared" si="36"/>
        <v>1.2854500000000002</v>
      </c>
      <c r="E98" s="94">
        <f t="shared" si="37"/>
        <v>3.2929500000000003</v>
      </c>
    </row>
    <row r="99" spans="1:5">
      <c r="A99" s="94">
        <v>4.499999999999992</v>
      </c>
      <c r="B99" s="94">
        <v>2.1976</v>
      </c>
      <c r="C99" s="94">
        <v>0.96705000000000008</v>
      </c>
      <c r="D99" s="94">
        <f t="shared" si="36"/>
        <v>1.23055</v>
      </c>
      <c r="E99" s="94">
        <f t="shared" si="37"/>
        <v>3.16465</v>
      </c>
    </row>
    <row r="100" spans="1:5">
      <c r="A100" s="94">
        <v>4.5499999999999918</v>
      </c>
      <c r="B100" s="94">
        <v>2.0819000000000001</v>
      </c>
      <c r="C100" s="94">
        <v>0.84380000000000011</v>
      </c>
      <c r="D100" s="94">
        <f t="shared" si="36"/>
        <v>1.2381</v>
      </c>
      <c r="E100" s="94">
        <f t="shared" si="37"/>
        <v>2.9257</v>
      </c>
    </row>
    <row r="101" spans="1:5">
      <c r="A101" s="94">
        <v>4.5999999999999917</v>
      </c>
      <c r="B101" s="94">
        <v>1.9201999999999999</v>
      </c>
      <c r="C101" s="94">
        <v>0.72544999999999993</v>
      </c>
      <c r="D101" s="94">
        <f t="shared" si="36"/>
        <v>1.19475</v>
      </c>
      <c r="E101" s="94">
        <f t="shared" si="37"/>
        <v>2.6456499999999998</v>
      </c>
    </row>
    <row r="102" spans="1:5">
      <c r="A102" s="94">
        <v>4.6499999999999915</v>
      </c>
      <c r="B102" s="94">
        <v>2.0253000000000001</v>
      </c>
      <c r="C102" s="94">
        <v>0.62570000000000003</v>
      </c>
      <c r="D102" s="94">
        <f t="shared" si="36"/>
        <v>1.3996</v>
      </c>
      <c r="E102" s="94">
        <f t="shared" si="37"/>
        <v>2.6510000000000002</v>
      </c>
    </row>
    <row r="103" spans="1:5">
      <c r="A103" s="94">
        <v>4.6999999999999913</v>
      </c>
      <c r="B103" s="94">
        <v>2.1324999999999998</v>
      </c>
      <c r="C103" s="94">
        <v>0.59665000000000001</v>
      </c>
      <c r="D103" s="94">
        <f t="shared" si="36"/>
        <v>1.5358499999999999</v>
      </c>
      <c r="E103" s="94">
        <f t="shared" si="37"/>
        <v>2.7291499999999997</v>
      </c>
    </row>
    <row r="104" spans="1:5">
      <c r="A104" s="94">
        <v>4.7499999999999911</v>
      </c>
      <c r="B104" s="94">
        <v>2.1869000000000001</v>
      </c>
      <c r="C104" s="94">
        <v>0.49959999999999993</v>
      </c>
      <c r="D104" s="94">
        <f t="shared" si="36"/>
        <v>1.6873</v>
      </c>
      <c r="E104" s="94">
        <f t="shared" si="37"/>
        <v>2.6865000000000001</v>
      </c>
    </row>
    <row r="105" spans="1:5">
      <c r="A105" s="94">
        <v>4.7999999999999909</v>
      </c>
      <c r="B105" s="94">
        <v>2.1107999999999998</v>
      </c>
      <c r="C105" s="94">
        <v>0.48319999999999996</v>
      </c>
      <c r="D105" s="94">
        <f t="shared" si="36"/>
        <v>1.6275999999999997</v>
      </c>
      <c r="E105" s="94">
        <f t="shared" si="37"/>
        <v>2.5939999999999999</v>
      </c>
    </row>
    <row r="106" spans="1:5">
      <c r="A106" s="94">
        <v>4.8499999999999908</v>
      </c>
      <c r="B106" s="94">
        <v>2.0413000000000001</v>
      </c>
      <c r="C106" s="94">
        <v>0.48875000000000002</v>
      </c>
      <c r="D106" s="94">
        <f t="shared" si="36"/>
        <v>1.5525500000000001</v>
      </c>
      <c r="E106" s="94">
        <f t="shared" si="37"/>
        <v>2.5300500000000001</v>
      </c>
    </row>
    <row r="107" spans="1:5">
      <c r="A107" s="94">
        <v>4.8999999999999906</v>
      </c>
      <c r="B107" s="94">
        <v>2.0375000000000001</v>
      </c>
      <c r="C107" s="94">
        <v>0.38240000000000007</v>
      </c>
      <c r="D107" s="94">
        <f t="shared" si="36"/>
        <v>1.6551</v>
      </c>
      <c r="E107" s="94">
        <f t="shared" si="37"/>
        <v>2.4199000000000002</v>
      </c>
    </row>
    <row r="108" spans="1:5">
      <c r="A108" s="94">
        <v>4.9499999999999904</v>
      </c>
      <c r="B108" s="94">
        <v>2.0394000000000001</v>
      </c>
      <c r="C108" s="94">
        <v>0.27829999999999988</v>
      </c>
      <c r="D108" s="94">
        <f t="shared" si="36"/>
        <v>1.7611000000000003</v>
      </c>
      <c r="E108" s="94">
        <f t="shared" si="37"/>
        <v>2.3176999999999999</v>
      </c>
    </row>
    <row r="109" spans="1:5">
      <c r="A109" s="94">
        <v>4.9999999999999902</v>
      </c>
      <c r="B109" s="94">
        <v>2.3837000000000002</v>
      </c>
      <c r="C109" s="94">
        <v>1.5864500000000001</v>
      </c>
      <c r="D109" s="94">
        <f t="shared" si="36"/>
        <v>0.79725000000000001</v>
      </c>
      <c r="E109" s="94">
        <f t="shared" si="37"/>
        <v>3.9701500000000003</v>
      </c>
    </row>
    <row r="110" spans="1:5">
      <c r="A110" s="94">
        <v>5.0499999999999901</v>
      </c>
      <c r="B110" s="94">
        <v>2.7576999999999998</v>
      </c>
      <c r="C110" s="94">
        <v>3.92</v>
      </c>
      <c r="D110" s="94">
        <f t="shared" si="36"/>
        <v>0</v>
      </c>
      <c r="E110" s="94">
        <f t="shared" si="37"/>
        <v>6.6776999999999997</v>
      </c>
    </row>
    <row r="111" spans="1:5">
      <c r="A111" s="94">
        <v>5.0999999999999899</v>
      </c>
      <c r="B111" s="94">
        <v>3.1735000000000002</v>
      </c>
      <c r="C111" s="94">
        <v>5.5244</v>
      </c>
      <c r="D111" s="94">
        <f t="shared" si="36"/>
        <v>0</v>
      </c>
      <c r="E111" s="94">
        <f t="shared" si="37"/>
        <v>8.6979000000000006</v>
      </c>
    </row>
    <row r="112" spans="1:5">
      <c r="A112" s="94">
        <v>5.1499999999999897</v>
      </c>
      <c r="B112" s="94">
        <v>2.7612999999999999</v>
      </c>
      <c r="C112" s="94">
        <v>7.4594000000000005</v>
      </c>
      <c r="D112" s="94">
        <f t="shared" si="36"/>
        <v>0</v>
      </c>
      <c r="E112" s="94">
        <f t="shared" si="37"/>
        <v>10.220700000000001</v>
      </c>
    </row>
    <row r="113" spans="1:5">
      <c r="A113" s="94">
        <v>5.1999999999999895</v>
      </c>
      <c r="B113" s="94">
        <v>2.38</v>
      </c>
      <c r="C113" s="94">
        <v>1.8505000000000003</v>
      </c>
      <c r="D113" s="94">
        <f t="shared" si="36"/>
        <v>0.52949999999999964</v>
      </c>
      <c r="E113" s="94">
        <f t="shared" si="37"/>
        <v>4.2305000000000001</v>
      </c>
    </row>
    <row r="114" spans="1:5">
      <c r="A114" s="94">
        <v>5.2499999999999893</v>
      </c>
      <c r="B114" s="94">
        <v>1.8976</v>
      </c>
      <c r="C114" s="94">
        <v>0.12790000000000001</v>
      </c>
      <c r="D114" s="94">
        <f t="shared" si="36"/>
        <v>1.7696999999999998</v>
      </c>
      <c r="E114" s="94">
        <f t="shared" si="37"/>
        <v>2.0255000000000001</v>
      </c>
    </row>
    <row r="115" spans="1:5">
      <c r="A115" s="94">
        <v>5.2999999999999892</v>
      </c>
      <c r="B115" s="94">
        <v>2.5415999999999999</v>
      </c>
      <c r="C115" s="94">
        <v>3.2805</v>
      </c>
      <c r="D115" s="94">
        <f t="shared" si="36"/>
        <v>0</v>
      </c>
      <c r="E115" s="94">
        <f t="shared" si="37"/>
        <v>5.8220999999999998</v>
      </c>
    </row>
    <row r="116" spans="1:5">
      <c r="A116" s="94">
        <v>5.349999999999989</v>
      </c>
      <c r="B116" s="94">
        <v>3.2583000000000002</v>
      </c>
      <c r="C116" s="94">
        <v>6.3604000000000003</v>
      </c>
      <c r="D116" s="94">
        <f t="shared" si="36"/>
        <v>0</v>
      </c>
      <c r="E116" s="94">
        <f t="shared" si="37"/>
        <v>9.6187000000000005</v>
      </c>
    </row>
    <row r="117" spans="1:5">
      <c r="A117" s="94">
        <v>5.3999999999999888</v>
      </c>
      <c r="B117" s="94">
        <v>2.5806</v>
      </c>
      <c r="C117" s="94">
        <v>4.2172000000000001</v>
      </c>
      <c r="D117" s="94">
        <f t="shared" si="36"/>
        <v>0</v>
      </c>
      <c r="E117" s="94">
        <f t="shared" si="37"/>
        <v>6.7978000000000005</v>
      </c>
    </row>
    <row r="118" spans="1:5">
      <c r="A118" s="94">
        <v>5.4499999999999886</v>
      </c>
      <c r="B118" s="94">
        <v>1.7709999999999999</v>
      </c>
      <c r="C118" s="94">
        <v>0.1069</v>
      </c>
      <c r="D118" s="94">
        <f t="shared" si="36"/>
        <v>1.6640999999999999</v>
      </c>
      <c r="E118" s="94">
        <f t="shared" si="37"/>
        <v>1.8778999999999999</v>
      </c>
    </row>
    <row r="119" spans="1:5">
      <c r="A119" s="94">
        <v>5.4999999999999885</v>
      </c>
      <c r="B119" s="94">
        <v>2.0703</v>
      </c>
      <c r="C119" s="94">
        <v>1.2281500000000001</v>
      </c>
      <c r="D119" s="94">
        <f t="shared" si="36"/>
        <v>0.84214999999999995</v>
      </c>
      <c r="E119" s="94">
        <f t="shared" si="37"/>
        <v>3.2984499999999999</v>
      </c>
    </row>
    <row r="120" spans="1:5">
      <c r="A120" s="94">
        <v>5.5499999999999883</v>
      </c>
      <c r="B120" s="94">
        <v>2.363</v>
      </c>
      <c r="C120" s="94">
        <v>3.0847000000000002</v>
      </c>
      <c r="D120" s="94">
        <f t="shared" si="36"/>
        <v>0</v>
      </c>
      <c r="E120" s="94">
        <f t="shared" si="37"/>
        <v>5.4477000000000002</v>
      </c>
    </row>
    <row r="121" spans="1:5">
      <c r="A121" s="94">
        <v>5.5999999999999881</v>
      </c>
      <c r="B121" s="94">
        <v>2.7502</v>
      </c>
      <c r="C121" s="94">
        <v>5.3336000000000006</v>
      </c>
      <c r="D121" s="94">
        <f t="shared" si="36"/>
        <v>0</v>
      </c>
      <c r="E121" s="94">
        <f t="shared" si="37"/>
        <v>8.0838000000000001</v>
      </c>
    </row>
    <row r="122" spans="1:5">
      <c r="A122" s="94">
        <v>5.6499999999999879</v>
      </c>
      <c r="B122" s="94">
        <v>2.6917</v>
      </c>
      <c r="C122" s="94">
        <v>4.6093999999999999</v>
      </c>
      <c r="D122" s="94">
        <f t="shared" si="36"/>
        <v>0</v>
      </c>
      <c r="E122" s="94">
        <f t="shared" si="37"/>
        <v>7.3010999999999999</v>
      </c>
    </row>
    <row r="123" spans="1:5">
      <c r="A123" s="94">
        <v>5.6999999999999877</v>
      </c>
      <c r="B123" s="94">
        <v>2.5607000000000002</v>
      </c>
      <c r="C123" s="94">
        <v>4.1165000000000003</v>
      </c>
      <c r="D123" s="94">
        <f t="shared" si="36"/>
        <v>0</v>
      </c>
      <c r="E123" s="94">
        <f t="shared" si="37"/>
        <v>6.6772000000000009</v>
      </c>
    </row>
    <row r="124" spans="1:5">
      <c r="A124" s="94">
        <v>5.7499999999999876</v>
      </c>
      <c r="B124" s="94">
        <v>2.2648999999999999</v>
      </c>
      <c r="C124" s="94">
        <v>3.1166</v>
      </c>
      <c r="D124" s="94">
        <f t="shared" si="36"/>
        <v>0</v>
      </c>
      <c r="E124" s="94">
        <f t="shared" si="37"/>
        <v>5.3815</v>
      </c>
    </row>
    <row r="125" spans="1:5">
      <c r="A125" s="94">
        <v>5.7999999999999874</v>
      </c>
      <c r="B125" s="94">
        <v>1.9691000000000001</v>
      </c>
      <c r="C125" s="94">
        <v>1.5249999999999999</v>
      </c>
      <c r="D125" s="94">
        <f t="shared" si="36"/>
        <v>0.44410000000000016</v>
      </c>
      <c r="E125" s="94">
        <f t="shared" si="37"/>
        <v>3.4941</v>
      </c>
    </row>
    <row r="126" spans="1:5">
      <c r="A126" s="94">
        <v>5.8499999999999872</v>
      </c>
      <c r="B126" s="94">
        <v>1.5757000000000001</v>
      </c>
      <c r="C126" s="94">
        <v>0.13884999999999992</v>
      </c>
      <c r="D126" s="94">
        <f t="shared" si="36"/>
        <v>1.4368500000000002</v>
      </c>
      <c r="E126" s="94">
        <f t="shared" si="37"/>
        <v>1.71455</v>
      </c>
    </row>
    <row r="127" spans="1:5">
      <c r="A127" s="94">
        <v>5.899999999999987</v>
      </c>
      <c r="B127" s="94">
        <v>1.8202</v>
      </c>
      <c r="C127" s="94">
        <v>1.39595</v>
      </c>
      <c r="D127" s="94">
        <f t="shared" si="36"/>
        <v>0.42425000000000002</v>
      </c>
      <c r="E127" s="94">
        <f t="shared" si="37"/>
        <v>3.2161499999999998</v>
      </c>
    </row>
    <row r="128" spans="1:5">
      <c r="A128" s="94">
        <v>5.9499999999999869</v>
      </c>
      <c r="B128" s="94">
        <v>2.0625</v>
      </c>
      <c r="C128" s="94">
        <v>2.4157000000000002</v>
      </c>
      <c r="D128" s="94">
        <f t="shared" si="36"/>
        <v>0</v>
      </c>
      <c r="E128" s="94">
        <f t="shared" si="37"/>
        <v>4.4782000000000002</v>
      </c>
    </row>
    <row r="129" spans="1:5">
      <c r="A129" s="94">
        <v>5.9999999999999867</v>
      </c>
      <c r="B129" s="94">
        <v>2.1345000000000001</v>
      </c>
      <c r="C129" s="94">
        <v>3.0313999999999997</v>
      </c>
      <c r="D129" s="94">
        <f t="shared" si="36"/>
        <v>0</v>
      </c>
      <c r="E129" s="94">
        <f t="shared" si="37"/>
        <v>5.1658999999999997</v>
      </c>
    </row>
    <row r="130" spans="1:5">
      <c r="A130" s="94">
        <v>6.0499999999999865</v>
      </c>
      <c r="B130" s="94">
        <v>2.2077</v>
      </c>
      <c r="C130" s="94">
        <v>2.6708999999999996</v>
      </c>
      <c r="D130" s="94">
        <f t="shared" si="36"/>
        <v>0</v>
      </c>
      <c r="E130" s="94">
        <f t="shared" si="37"/>
        <v>4.8785999999999996</v>
      </c>
    </row>
    <row r="131" spans="1:5">
      <c r="A131" s="94">
        <v>6.0999999999999863</v>
      </c>
      <c r="B131" s="94">
        <v>2.3159000000000001</v>
      </c>
      <c r="C131" s="94">
        <v>4.3658000000000001</v>
      </c>
      <c r="D131" s="94">
        <f t="shared" si="36"/>
        <v>0</v>
      </c>
      <c r="E131" s="94">
        <f t="shared" si="37"/>
        <v>6.6817000000000002</v>
      </c>
    </row>
    <row r="132" spans="1:5">
      <c r="A132" s="94">
        <v>6.1499999999999861</v>
      </c>
      <c r="B132" s="94">
        <v>2.2145999999999999</v>
      </c>
      <c r="C132" s="94">
        <v>3.9001999999999999</v>
      </c>
      <c r="D132" s="94">
        <f t="shared" si="36"/>
        <v>0</v>
      </c>
      <c r="E132" s="94">
        <f t="shared" si="37"/>
        <v>6.1147999999999998</v>
      </c>
    </row>
    <row r="133" spans="1:5">
      <c r="A133" s="94">
        <v>6.199999999999986</v>
      </c>
      <c r="B133" s="94">
        <v>1.9968999999999999</v>
      </c>
      <c r="C133" s="94">
        <v>3.0327999999999999</v>
      </c>
      <c r="D133" s="94">
        <f t="shared" si="36"/>
        <v>0</v>
      </c>
      <c r="E133" s="94">
        <f t="shared" si="37"/>
        <v>5.0297000000000001</v>
      </c>
    </row>
    <row r="134" spans="1:5">
      <c r="A134" s="94">
        <v>6.2499999999999858</v>
      </c>
      <c r="B134" s="94">
        <v>2.2336</v>
      </c>
      <c r="C134" s="94">
        <v>3.2614000000000001</v>
      </c>
      <c r="D134" s="94">
        <f t="shared" si="36"/>
        <v>0</v>
      </c>
      <c r="E134" s="94">
        <f t="shared" si="37"/>
        <v>5.4950000000000001</v>
      </c>
    </row>
    <row r="135" spans="1:5">
      <c r="A135" s="94">
        <v>6.2999999999999856</v>
      </c>
      <c r="B135" s="94">
        <v>2.7827999999999999</v>
      </c>
      <c r="C135" s="94">
        <v>4.0891999999999999</v>
      </c>
      <c r="D135" s="94">
        <f t="shared" si="36"/>
        <v>0</v>
      </c>
      <c r="E135" s="94">
        <f t="shared" si="37"/>
        <v>6.8719999999999999</v>
      </c>
    </row>
    <row r="136" spans="1:5">
      <c r="A136" s="94">
        <v>6.3499999999999854</v>
      </c>
      <c r="B136" s="94">
        <v>3.1985000000000001</v>
      </c>
      <c r="C136" s="94">
        <v>5.1579000000000006</v>
      </c>
      <c r="D136" s="94">
        <f t="shared" si="36"/>
        <v>0</v>
      </c>
      <c r="E136" s="94">
        <f t="shared" si="37"/>
        <v>8.3564000000000007</v>
      </c>
    </row>
    <row r="137" spans="1:5">
      <c r="A137" s="94">
        <v>6.3999999999999853</v>
      </c>
      <c r="B137" s="94">
        <v>2.6375999999999999</v>
      </c>
      <c r="C137" s="94">
        <v>3.6780999999999997</v>
      </c>
      <c r="D137" s="94">
        <f t="shared" ref="D137:D200" si="38">MAX(0,(B137-C137))</f>
        <v>0</v>
      </c>
      <c r="E137" s="94">
        <f t="shared" ref="E137:E200" si="39">B137+C137</f>
        <v>6.3156999999999996</v>
      </c>
    </row>
    <row r="138" spans="1:5">
      <c r="A138" s="94">
        <v>6.4499999999999851</v>
      </c>
      <c r="B138" s="94">
        <v>1.8885000000000001</v>
      </c>
      <c r="C138" s="94">
        <v>1.0486</v>
      </c>
      <c r="D138" s="94">
        <f t="shared" si="38"/>
        <v>0.83990000000000009</v>
      </c>
      <c r="E138" s="94">
        <f t="shared" si="39"/>
        <v>2.9371</v>
      </c>
    </row>
    <row r="139" spans="1:5">
      <c r="A139" s="94">
        <v>6.4999999999999849</v>
      </c>
      <c r="B139" s="94">
        <v>2.2723</v>
      </c>
      <c r="C139" s="94">
        <v>1.5771000000000002</v>
      </c>
      <c r="D139" s="94">
        <f t="shared" si="38"/>
        <v>0.69519999999999982</v>
      </c>
      <c r="E139" s="94">
        <f t="shared" si="39"/>
        <v>3.8494000000000002</v>
      </c>
    </row>
    <row r="140" spans="1:5">
      <c r="A140" s="94">
        <v>6.5499999999999847</v>
      </c>
      <c r="B140" s="94">
        <v>2.6890999999999998</v>
      </c>
      <c r="C140" s="94">
        <v>2.7137000000000002</v>
      </c>
      <c r="D140" s="94">
        <f t="shared" si="38"/>
        <v>0</v>
      </c>
      <c r="E140" s="94">
        <f t="shared" si="39"/>
        <v>5.4028</v>
      </c>
    </row>
    <row r="141" spans="1:5">
      <c r="A141" s="94">
        <v>6.5999999999999845</v>
      </c>
      <c r="B141" s="94">
        <v>3.2343000000000002</v>
      </c>
      <c r="C141" s="94">
        <v>3.5958999999999994</v>
      </c>
      <c r="D141" s="94">
        <f t="shared" si="38"/>
        <v>0</v>
      </c>
      <c r="E141" s="94">
        <f t="shared" si="39"/>
        <v>6.8301999999999996</v>
      </c>
    </row>
    <row r="142" spans="1:5">
      <c r="A142" s="94">
        <v>6.6499999999999844</v>
      </c>
      <c r="B142" s="94">
        <v>3.9687000000000001</v>
      </c>
      <c r="C142" s="94">
        <v>4.1256000000000004</v>
      </c>
      <c r="D142" s="94">
        <f t="shared" si="38"/>
        <v>0</v>
      </c>
      <c r="E142" s="94">
        <f t="shared" si="39"/>
        <v>8.0943000000000005</v>
      </c>
    </row>
    <row r="143" spans="1:5">
      <c r="A143" s="94">
        <v>6.6999999999999842</v>
      </c>
      <c r="B143" s="94">
        <v>4.7624000000000004</v>
      </c>
      <c r="C143" s="94">
        <v>4.6355999999999993</v>
      </c>
      <c r="D143" s="94">
        <f t="shared" si="38"/>
        <v>0.12680000000000113</v>
      </c>
      <c r="E143" s="94">
        <f t="shared" si="39"/>
        <v>9.3979999999999997</v>
      </c>
    </row>
    <row r="144" spans="1:5">
      <c r="A144" s="94">
        <v>6.749999999999984</v>
      </c>
      <c r="B144" s="94">
        <v>5.4428999999999998</v>
      </c>
      <c r="C144" s="94">
        <v>5.2225999999999999</v>
      </c>
      <c r="D144" s="94">
        <f t="shared" si="38"/>
        <v>0.22029999999999994</v>
      </c>
      <c r="E144" s="94">
        <f t="shared" si="39"/>
        <v>10.6655</v>
      </c>
    </row>
    <row r="145" spans="1:5">
      <c r="A145" s="94">
        <v>6.7999999999999838</v>
      </c>
      <c r="B145" s="94">
        <v>5.8601000000000001</v>
      </c>
      <c r="C145" s="94">
        <v>5.5611000000000006</v>
      </c>
      <c r="D145" s="94">
        <f t="shared" si="38"/>
        <v>0.29899999999999949</v>
      </c>
      <c r="E145" s="94">
        <f t="shared" si="39"/>
        <v>11.421200000000001</v>
      </c>
    </row>
    <row r="146" spans="1:5">
      <c r="A146" s="94">
        <v>6.8499999999999837</v>
      </c>
      <c r="B146" s="94">
        <v>6.2824999999999998</v>
      </c>
      <c r="C146" s="94">
        <v>6.1947000000000001</v>
      </c>
      <c r="D146" s="94">
        <f t="shared" si="38"/>
        <v>8.7799999999999656E-2</v>
      </c>
      <c r="E146" s="94">
        <f t="shared" si="39"/>
        <v>12.4772</v>
      </c>
    </row>
    <row r="147" spans="1:5">
      <c r="A147" s="94">
        <v>6.8999999999999835</v>
      </c>
      <c r="B147" s="94">
        <v>6.2309000000000001</v>
      </c>
      <c r="C147" s="94">
        <v>6.0486000000000004</v>
      </c>
      <c r="D147" s="94">
        <f t="shared" si="38"/>
        <v>0.18229999999999968</v>
      </c>
      <c r="E147" s="94">
        <f t="shared" si="39"/>
        <v>12.279500000000001</v>
      </c>
    </row>
    <row r="148" spans="1:5">
      <c r="A148" s="94">
        <v>6.9499999999999833</v>
      </c>
      <c r="B148" s="94">
        <v>6.1444999999999999</v>
      </c>
      <c r="C148" s="94">
        <v>5.9136500000000005</v>
      </c>
      <c r="D148" s="94">
        <f t="shared" si="38"/>
        <v>0.23084999999999933</v>
      </c>
      <c r="E148" s="94">
        <f t="shared" si="39"/>
        <v>12.058150000000001</v>
      </c>
    </row>
    <row r="149" spans="1:5">
      <c r="A149" s="94">
        <v>6.9999999999999831</v>
      </c>
      <c r="B149" s="94">
        <v>6.1017000000000001</v>
      </c>
      <c r="C149" s="94">
        <v>5.3353999999999999</v>
      </c>
      <c r="D149" s="94">
        <f t="shared" si="38"/>
        <v>0.7663000000000002</v>
      </c>
      <c r="E149" s="94">
        <f t="shared" si="39"/>
        <v>11.437100000000001</v>
      </c>
    </row>
    <row r="150" spans="1:5">
      <c r="A150" s="94">
        <v>7.0499999999999829</v>
      </c>
      <c r="B150" s="94">
        <v>5.9821999999999997</v>
      </c>
      <c r="C150" s="94">
        <v>4.7419000000000011</v>
      </c>
      <c r="D150" s="94">
        <f t="shared" si="38"/>
        <v>1.2402999999999986</v>
      </c>
      <c r="E150" s="94">
        <f t="shared" si="39"/>
        <v>10.7241</v>
      </c>
    </row>
    <row r="151" spans="1:5">
      <c r="A151" s="94">
        <v>7.0999999999999828</v>
      </c>
      <c r="B151" s="94">
        <v>5.9061000000000003</v>
      </c>
      <c r="C151" s="94">
        <v>4.0728499999999999</v>
      </c>
      <c r="D151" s="94">
        <f t="shared" si="38"/>
        <v>1.8332500000000005</v>
      </c>
      <c r="E151" s="94">
        <f t="shared" si="39"/>
        <v>9.9789500000000011</v>
      </c>
    </row>
    <row r="152" spans="1:5">
      <c r="A152" s="94">
        <v>7.1499999999999826</v>
      </c>
      <c r="B152" s="94">
        <v>6.1909000000000001</v>
      </c>
      <c r="C152" s="94">
        <v>4.1742000000000008</v>
      </c>
      <c r="D152" s="94">
        <f t="shared" si="38"/>
        <v>2.0166999999999993</v>
      </c>
      <c r="E152" s="94">
        <f t="shared" si="39"/>
        <v>10.365100000000002</v>
      </c>
    </row>
    <row r="153" spans="1:5">
      <c r="A153" s="94">
        <v>7.1999999999999824</v>
      </c>
      <c r="B153" s="94">
        <v>6.5960000000000001</v>
      </c>
      <c r="C153" s="94">
        <v>4.2991000000000001</v>
      </c>
      <c r="D153" s="94">
        <f t="shared" si="38"/>
        <v>2.2968999999999999</v>
      </c>
      <c r="E153" s="94">
        <f t="shared" si="39"/>
        <v>10.895099999999999</v>
      </c>
    </row>
    <row r="154" spans="1:5">
      <c r="A154" s="94">
        <v>7.2499999999999822</v>
      </c>
      <c r="B154" s="94">
        <v>6.4573</v>
      </c>
      <c r="C154" s="94">
        <v>4.3905499999999993</v>
      </c>
      <c r="D154" s="94">
        <f t="shared" si="38"/>
        <v>2.0667500000000008</v>
      </c>
      <c r="E154" s="94">
        <f t="shared" si="39"/>
        <v>10.847849999999999</v>
      </c>
    </row>
    <row r="155" spans="1:5">
      <c r="A155" s="94">
        <v>7.2999999999999821</v>
      </c>
      <c r="B155" s="94">
        <v>6.1809000000000003</v>
      </c>
      <c r="C155" s="94">
        <v>3.9177499999999998</v>
      </c>
      <c r="D155" s="94">
        <f t="shared" si="38"/>
        <v>2.2631500000000004</v>
      </c>
      <c r="E155" s="94">
        <f t="shared" si="39"/>
        <v>10.098649999999999</v>
      </c>
    </row>
    <row r="156" spans="1:5">
      <c r="A156" s="94">
        <v>7.3499999999999819</v>
      </c>
      <c r="B156" s="94">
        <v>5.9097</v>
      </c>
      <c r="C156" s="94">
        <v>3.5401500000000006</v>
      </c>
      <c r="D156" s="94">
        <f t="shared" si="38"/>
        <v>2.3695499999999994</v>
      </c>
      <c r="E156" s="94">
        <f t="shared" si="39"/>
        <v>9.4498500000000014</v>
      </c>
    </row>
    <row r="157" spans="1:5">
      <c r="A157" s="94">
        <v>7.3999999999999817</v>
      </c>
      <c r="B157" s="94">
        <v>6.2188999999999997</v>
      </c>
      <c r="C157" s="94">
        <v>5.7302</v>
      </c>
      <c r="D157" s="94">
        <f t="shared" si="38"/>
        <v>0.48869999999999969</v>
      </c>
      <c r="E157" s="94">
        <f t="shared" si="39"/>
        <v>11.9491</v>
      </c>
    </row>
    <row r="158" spans="1:5">
      <c r="A158" s="94">
        <v>7.4499999999999815</v>
      </c>
      <c r="B158" s="94">
        <v>6.5785999999999998</v>
      </c>
      <c r="C158" s="94">
        <v>6.5942499999999997</v>
      </c>
      <c r="D158" s="94">
        <f t="shared" si="38"/>
        <v>0</v>
      </c>
      <c r="E158" s="94">
        <f t="shared" si="39"/>
        <v>13.17285</v>
      </c>
    </row>
    <row r="159" spans="1:5">
      <c r="A159" s="94">
        <v>7.4999999999999813</v>
      </c>
      <c r="B159" s="94">
        <v>6.4941000000000004</v>
      </c>
      <c r="C159" s="94">
        <v>8.4141000000000012</v>
      </c>
      <c r="D159" s="94">
        <f t="shared" si="38"/>
        <v>0</v>
      </c>
      <c r="E159" s="94">
        <f t="shared" si="39"/>
        <v>14.908200000000001</v>
      </c>
    </row>
    <row r="160" spans="1:5">
      <c r="A160" s="94">
        <v>7.5499999999999812</v>
      </c>
      <c r="B160" s="94">
        <v>6.3326000000000002</v>
      </c>
      <c r="C160" s="94">
        <v>7.3249000000000004</v>
      </c>
      <c r="D160" s="94">
        <f t="shared" si="38"/>
        <v>0</v>
      </c>
      <c r="E160" s="94">
        <f t="shared" si="39"/>
        <v>13.657500000000001</v>
      </c>
    </row>
    <row r="161" spans="1:5">
      <c r="A161" s="94">
        <v>7.599999999999981</v>
      </c>
      <c r="B161" s="94">
        <v>6.1904000000000003</v>
      </c>
      <c r="C161" s="94">
        <v>6.7083999999999993</v>
      </c>
      <c r="D161" s="94">
        <f t="shared" si="38"/>
        <v>0</v>
      </c>
      <c r="E161" s="94">
        <f t="shared" si="39"/>
        <v>12.8988</v>
      </c>
    </row>
    <row r="162" spans="1:5">
      <c r="A162" s="94">
        <v>7.6499999999999808</v>
      </c>
      <c r="B162" s="94">
        <v>6.0582000000000003</v>
      </c>
      <c r="C162" s="94">
        <v>6.5520000000000005</v>
      </c>
      <c r="D162" s="94">
        <f t="shared" si="38"/>
        <v>0</v>
      </c>
      <c r="E162" s="94">
        <f t="shared" si="39"/>
        <v>12.610200000000001</v>
      </c>
    </row>
    <row r="163" spans="1:5">
      <c r="A163" s="94">
        <v>7.6999999999999806</v>
      </c>
      <c r="B163" s="94">
        <v>5.9246999999999996</v>
      </c>
      <c r="C163" s="94">
        <v>6.8473000000000006</v>
      </c>
      <c r="D163" s="94">
        <f t="shared" si="38"/>
        <v>0</v>
      </c>
      <c r="E163" s="94">
        <f t="shared" si="39"/>
        <v>12.772</v>
      </c>
    </row>
    <row r="164" spans="1:5">
      <c r="A164" s="94">
        <v>7.7499999999999805</v>
      </c>
      <c r="B164" s="94">
        <v>5.5876999999999999</v>
      </c>
      <c r="C164" s="94">
        <v>6.8408999999999995</v>
      </c>
      <c r="D164" s="94">
        <f t="shared" si="38"/>
        <v>0</v>
      </c>
      <c r="E164" s="94">
        <f t="shared" si="39"/>
        <v>12.428599999999999</v>
      </c>
    </row>
    <row r="165" spans="1:5">
      <c r="A165" s="94">
        <v>7.7999999999999803</v>
      </c>
      <c r="B165" s="94">
        <v>4.6108000000000002</v>
      </c>
      <c r="C165" s="94">
        <v>3.41215</v>
      </c>
      <c r="D165" s="94">
        <f t="shared" si="38"/>
        <v>1.1986500000000002</v>
      </c>
      <c r="E165" s="94">
        <f t="shared" si="39"/>
        <v>8.0229499999999998</v>
      </c>
    </row>
    <row r="166" spans="1:5">
      <c r="A166" s="94">
        <v>7.8499999999999801</v>
      </c>
      <c r="B166" s="94">
        <v>4.7485999999999997</v>
      </c>
      <c r="C166" s="94">
        <v>1.5989499999999999</v>
      </c>
      <c r="D166" s="94">
        <f t="shared" si="38"/>
        <v>3.1496499999999998</v>
      </c>
      <c r="E166" s="94">
        <f t="shared" si="39"/>
        <v>6.34755</v>
      </c>
    </row>
    <row r="167" spans="1:5">
      <c r="A167" s="94">
        <v>7.8999999999999799</v>
      </c>
      <c r="B167" s="94">
        <v>4.8371000000000004</v>
      </c>
      <c r="C167" s="94">
        <v>2.0806500000000003</v>
      </c>
      <c r="D167" s="94">
        <f t="shared" si="38"/>
        <v>2.7564500000000001</v>
      </c>
      <c r="E167" s="94">
        <f t="shared" si="39"/>
        <v>6.9177500000000007</v>
      </c>
    </row>
    <row r="168" spans="1:5">
      <c r="A168" s="94">
        <v>7.9499999999999797</v>
      </c>
      <c r="B168" s="94">
        <v>4.9794</v>
      </c>
      <c r="C168" s="94">
        <v>2.4044999999999996</v>
      </c>
      <c r="D168" s="94">
        <f t="shared" si="38"/>
        <v>2.5749000000000004</v>
      </c>
      <c r="E168" s="94">
        <f t="shared" si="39"/>
        <v>7.3838999999999997</v>
      </c>
    </row>
    <row r="169" spans="1:5">
      <c r="A169" s="94">
        <v>7.9999999999999796</v>
      </c>
      <c r="B169" s="94">
        <v>5.3007</v>
      </c>
      <c r="C169" s="94">
        <v>3.54</v>
      </c>
      <c r="D169" s="94">
        <f t="shared" si="38"/>
        <v>1.7606999999999999</v>
      </c>
      <c r="E169" s="94">
        <f t="shared" si="39"/>
        <v>8.8407</v>
      </c>
    </row>
    <row r="170" spans="1:5">
      <c r="A170" s="94">
        <v>8.0499999999999794</v>
      </c>
      <c r="B170" s="94">
        <v>5.6824000000000003</v>
      </c>
      <c r="C170" s="94">
        <v>4.8449</v>
      </c>
      <c r="D170" s="94">
        <f t="shared" si="38"/>
        <v>0.83750000000000036</v>
      </c>
      <c r="E170" s="94">
        <f t="shared" si="39"/>
        <v>10.5273</v>
      </c>
    </row>
    <row r="171" spans="1:5">
      <c r="A171" s="94">
        <v>8.0999999999999801</v>
      </c>
      <c r="B171" s="94">
        <v>6.0312000000000001</v>
      </c>
      <c r="C171" s="94">
        <v>6.2787000000000006</v>
      </c>
      <c r="D171" s="94">
        <f t="shared" si="38"/>
        <v>0</v>
      </c>
      <c r="E171" s="94">
        <f t="shared" si="39"/>
        <v>12.309900000000001</v>
      </c>
    </row>
    <row r="172" spans="1:5">
      <c r="A172" s="94">
        <v>8.1499999999999808</v>
      </c>
      <c r="B172" s="94">
        <v>6.3437000000000001</v>
      </c>
      <c r="C172" s="94">
        <v>5.58</v>
      </c>
      <c r="D172" s="94">
        <f t="shared" si="38"/>
        <v>0.76370000000000005</v>
      </c>
      <c r="E172" s="94">
        <f t="shared" si="39"/>
        <v>11.9237</v>
      </c>
    </row>
    <row r="173" spans="1:5">
      <c r="A173" s="94">
        <v>8.1999999999999815</v>
      </c>
      <c r="B173" s="94">
        <v>6.7747999999999999</v>
      </c>
      <c r="C173" s="94">
        <v>4.8225499999999997</v>
      </c>
      <c r="D173" s="94">
        <f t="shared" si="38"/>
        <v>1.9522500000000003</v>
      </c>
      <c r="E173" s="94">
        <f t="shared" si="39"/>
        <v>11.597349999999999</v>
      </c>
    </row>
    <row r="174" spans="1:5">
      <c r="A174" s="94">
        <v>8.2499999999999822</v>
      </c>
      <c r="B174" s="94">
        <v>6.2637999999999998</v>
      </c>
      <c r="C174" s="94">
        <v>3.6783999999999999</v>
      </c>
      <c r="D174" s="94">
        <f t="shared" si="38"/>
        <v>2.5853999999999999</v>
      </c>
      <c r="E174" s="94">
        <f t="shared" si="39"/>
        <v>9.9421999999999997</v>
      </c>
    </row>
    <row r="175" spans="1:5">
      <c r="A175" s="94">
        <v>8.2999999999999829</v>
      </c>
      <c r="B175" s="94">
        <v>5.0789</v>
      </c>
      <c r="C175" s="94">
        <v>2.1490499999999999</v>
      </c>
      <c r="D175" s="94">
        <f t="shared" si="38"/>
        <v>2.9298500000000001</v>
      </c>
      <c r="E175" s="94">
        <f t="shared" si="39"/>
        <v>7.2279499999999999</v>
      </c>
    </row>
    <row r="176" spans="1:5">
      <c r="A176" s="94">
        <v>8.3499999999999837</v>
      </c>
      <c r="B176" s="94">
        <v>4.5964999999999998</v>
      </c>
      <c r="C176" s="94">
        <v>1.0855499999999998</v>
      </c>
      <c r="D176" s="94">
        <f t="shared" si="38"/>
        <v>3.5109500000000002</v>
      </c>
      <c r="E176" s="94">
        <f t="shared" si="39"/>
        <v>5.6820499999999994</v>
      </c>
    </row>
    <row r="177" spans="1:5">
      <c r="A177" s="94">
        <v>8.3999999999999844</v>
      </c>
      <c r="B177" s="94">
        <v>4.3578999999999999</v>
      </c>
      <c r="C177" s="94">
        <v>0.89924999999999988</v>
      </c>
      <c r="D177" s="94">
        <f t="shared" si="38"/>
        <v>3.45865</v>
      </c>
      <c r="E177" s="94">
        <f t="shared" si="39"/>
        <v>5.2571499999999993</v>
      </c>
    </row>
    <row r="178" spans="1:5">
      <c r="A178" s="94">
        <v>8.4499999999999851</v>
      </c>
      <c r="B178" s="94">
        <v>4.1664000000000003</v>
      </c>
      <c r="C178" s="94">
        <v>0.7108000000000001</v>
      </c>
      <c r="D178" s="94">
        <f t="shared" si="38"/>
        <v>3.4556000000000004</v>
      </c>
      <c r="E178" s="94">
        <f t="shared" si="39"/>
        <v>4.8772000000000002</v>
      </c>
    </row>
    <row r="179" spans="1:5">
      <c r="A179" s="94">
        <v>8.4999999999999858</v>
      </c>
      <c r="B179" s="94">
        <v>4.3262999999999998</v>
      </c>
      <c r="C179" s="94">
        <v>0.96340000000000003</v>
      </c>
      <c r="D179" s="94">
        <f t="shared" si="38"/>
        <v>3.3628999999999998</v>
      </c>
      <c r="E179" s="94">
        <f t="shared" si="39"/>
        <v>5.2896999999999998</v>
      </c>
    </row>
    <row r="180" spans="1:5">
      <c r="A180" s="94">
        <v>8.5499999999999865</v>
      </c>
      <c r="B180" s="94">
        <v>4.5368000000000004</v>
      </c>
      <c r="C180" s="94">
        <v>1.2329999999999999</v>
      </c>
      <c r="D180" s="94">
        <f t="shared" si="38"/>
        <v>3.3038000000000007</v>
      </c>
      <c r="E180" s="94">
        <f t="shared" si="39"/>
        <v>5.7698</v>
      </c>
    </row>
    <row r="181" spans="1:5">
      <c r="A181" s="94">
        <v>8.5999999999999872</v>
      </c>
      <c r="B181" s="94">
        <v>4.7416999999999998</v>
      </c>
      <c r="C181" s="94">
        <v>1.2696999999999998</v>
      </c>
      <c r="D181" s="94">
        <f t="shared" si="38"/>
        <v>3.472</v>
      </c>
      <c r="E181" s="94">
        <f t="shared" si="39"/>
        <v>6.0114000000000001</v>
      </c>
    </row>
    <row r="182" spans="1:5">
      <c r="A182" s="94">
        <v>8.6499999999999879</v>
      </c>
      <c r="B182" s="94">
        <v>4.9576000000000002</v>
      </c>
      <c r="C182" s="94">
        <v>1.0679500000000002</v>
      </c>
      <c r="D182" s="94">
        <f t="shared" si="38"/>
        <v>3.8896500000000001</v>
      </c>
      <c r="E182" s="94">
        <f t="shared" si="39"/>
        <v>6.0255500000000008</v>
      </c>
    </row>
    <row r="183" spans="1:5">
      <c r="A183" s="94">
        <v>8.6999999999999886</v>
      </c>
      <c r="B183" s="94">
        <v>5.1657999999999999</v>
      </c>
      <c r="C183" s="94">
        <v>0.93864999999999998</v>
      </c>
      <c r="D183" s="94">
        <f t="shared" si="38"/>
        <v>4.22715</v>
      </c>
      <c r="E183" s="94">
        <f t="shared" si="39"/>
        <v>6.1044499999999999</v>
      </c>
    </row>
    <row r="184" spans="1:5">
      <c r="A184" s="94">
        <v>8.7499999999999893</v>
      </c>
      <c r="B184" s="94">
        <v>5.2510000000000003</v>
      </c>
      <c r="C184" s="94">
        <v>0.74899999999999967</v>
      </c>
      <c r="D184" s="94">
        <f t="shared" si="38"/>
        <v>4.5020000000000007</v>
      </c>
      <c r="E184" s="94">
        <f t="shared" si="39"/>
        <v>6</v>
      </c>
    </row>
    <row r="185" spans="1:5">
      <c r="A185" s="94">
        <v>8.7999999999999901</v>
      </c>
      <c r="B185" s="94">
        <v>5.1101000000000001</v>
      </c>
      <c r="C185" s="94">
        <v>0.57584999999999997</v>
      </c>
      <c r="D185" s="94">
        <f t="shared" si="38"/>
        <v>4.5342500000000001</v>
      </c>
      <c r="E185" s="94">
        <f t="shared" si="39"/>
        <v>5.6859500000000001</v>
      </c>
    </row>
    <row r="186" spans="1:5">
      <c r="A186" s="94">
        <v>8.8499999999999908</v>
      </c>
      <c r="B186" s="94">
        <v>5.2195</v>
      </c>
      <c r="C186" s="94">
        <v>0.66785000000000005</v>
      </c>
      <c r="D186" s="94">
        <f t="shared" si="38"/>
        <v>4.5516500000000004</v>
      </c>
      <c r="E186" s="94">
        <f t="shared" si="39"/>
        <v>5.8873499999999996</v>
      </c>
    </row>
    <row r="187" spans="1:5">
      <c r="A187" s="94">
        <v>8.8999999999999915</v>
      </c>
      <c r="B187" s="94">
        <v>5.3388</v>
      </c>
      <c r="C187" s="94">
        <v>1.1447000000000003</v>
      </c>
      <c r="D187" s="94">
        <f t="shared" si="38"/>
        <v>4.1940999999999997</v>
      </c>
      <c r="E187" s="94">
        <f t="shared" si="39"/>
        <v>6.4835000000000003</v>
      </c>
    </row>
    <row r="188" spans="1:5">
      <c r="A188" s="94">
        <v>8.9499999999999922</v>
      </c>
      <c r="B188" s="94">
        <v>5.4801000000000002</v>
      </c>
      <c r="C188" s="94">
        <v>1.4733999999999998</v>
      </c>
      <c r="D188" s="94">
        <f t="shared" si="38"/>
        <v>4.0067000000000004</v>
      </c>
      <c r="E188" s="94">
        <f t="shared" si="39"/>
        <v>6.9535</v>
      </c>
    </row>
    <row r="189" spans="1:5">
      <c r="A189" s="94">
        <v>8.9999999999999929</v>
      </c>
      <c r="B189" s="94">
        <v>5.4061000000000003</v>
      </c>
      <c r="C189" s="94">
        <v>1.0832999999999999</v>
      </c>
      <c r="D189" s="94">
        <f t="shared" si="38"/>
        <v>4.3228000000000009</v>
      </c>
      <c r="E189" s="94">
        <f t="shared" si="39"/>
        <v>6.4893999999999998</v>
      </c>
    </row>
    <row r="190" spans="1:5">
      <c r="A190" s="94">
        <v>9.0499999999999936</v>
      </c>
      <c r="B190" s="94">
        <v>5.32</v>
      </c>
      <c r="C190" s="94">
        <v>0.75995000000000035</v>
      </c>
      <c r="D190" s="94">
        <f t="shared" si="38"/>
        <v>4.5600500000000004</v>
      </c>
      <c r="E190" s="94">
        <f t="shared" si="39"/>
        <v>6.0799500000000002</v>
      </c>
    </row>
    <row r="191" spans="1:5">
      <c r="A191" s="94">
        <v>9.0999999999999943</v>
      </c>
      <c r="B191" s="94">
        <v>5.2153999999999998</v>
      </c>
      <c r="C191" s="94">
        <v>0.51170000000000027</v>
      </c>
      <c r="D191" s="94">
        <f t="shared" si="38"/>
        <v>4.7036999999999995</v>
      </c>
      <c r="E191" s="94">
        <f t="shared" si="39"/>
        <v>5.7271000000000001</v>
      </c>
    </row>
    <row r="192" spans="1:5">
      <c r="A192" s="94">
        <v>9.149999999999995</v>
      </c>
      <c r="B192" s="94">
        <v>5.2831000000000001</v>
      </c>
      <c r="C192" s="94">
        <v>0.43990000000000018</v>
      </c>
      <c r="D192" s="94">
        <f t="shared" si="38"/>
        <v>4.8431999999999995</v>
      </c>
      <c r="E192" s="94">
        <f t="shared" si="39"/>
        <v>5.7230000000000008</v>
      </c>
    </row>
    <row r="193" spans="1:5">
      <c r="A193" s="94">
        <v>9.1999999999999957</v>
      </c>
      <c r="B193" s="94">
        <v>5.3102</v>
      </c>
      <c r="C193" s="94">
        <v>0.36264999999999992</v>
      </c>
      <c r="D193" s="94">
        <f t="shared" si="38"/>
        <v>4.9475499999999997</v>
      </c>
      <c r="E193" s="94">
        <f t="shared" si="39"/>
        <v>5.6728500000000004</v>
      </c>
    </row>
    <row r="194" spans="1:5">
      <c r="A194" s="94">
        <v>9.2499999999999964</v>
      </c>
      <c r="B194" s="94">
        <v>5.3932000000000002</v>
      </c>
      <c r="C194" s="94">
        <v>0.31824999999999992</v>
      </c>
      <c r="D194" s="94">
        <f t="shared" si="38"/>
        <v>5.0749500000000003</v>
      </c>
      <c r="E194" s="94">
        <f t="shared" si="39"/>
        <v>5.7114500000000001</v>
      </c>
    </row>
    <row r="195" spans="1:5">
      <c r="A195" s="94">
        <v>9.2999999999999972</v>
      </c>
      <c r="B195" s="94">
        <v>5.4124999999999996</v>
      </c>
      <c r="C195" s="94">
        <v>0.27879999999999994</v>
      </c>
      <c r="D195" s="94">
        <f t="shared" si="38"/>
        <v>5.1336999999999993</v>
      </c>
      <c r="E195" s="94">
        <f t="shared" si="39"/>
        <v>5.6913</v>
      </c>
    </row>
    <row r="196" spans="1:5">
      <c r="A196" s="94">
        <v>9.3499999999999979</v>
      </c>
      <c r="B196" s="94">
        <v>5.4570999999999996</v>
      </c>
      <c r="C196" s="94">
        <v>0.26840000000000019</v>
      </c>
      <c r="D196" s="94">
        <f t="shared" si="38"/>
        <v>5.188699999999999</v>
      </c>
      <c r="E196" s="94">
        <f t="shared" si="39"/>
        <v>5.7255000000000003</v>
      </c>
    </row>
    <row r="197" spans="1:5">
      <c r="A197" s="94">
        <v>9.3999999999999986</v>
      </c>
      <c r="B197" s="94">
        <v>5.5095000000000001</v>
      </c>
      <c r="C197" s="94">
        <v>0.34675000000000011</v>
      </c>
      <c r="D197" s="94">
        <f t="shared" si="38"/>
        <v>5.16275</v>
      </c>
      <c r="E197" s="94">
        <f t="shared" si="39"/>
        <v>5.8562500000000002</v>
      </c>
    </row>
    <row r="198" spans="1:5">
      <c r="A198" s="94">
        <v>9.4499999999999993</v>
      </c>
      <c r="B198" s="94">
        <v>5.6101999999999999</v>
      </c>
      <c r="C198" s="94">
        <v>0.45365000000000011</v>
      </c>
      <c r="D198" s="94">
        <f t="shared" si="38"/>
        <v>5.1565499999999993</v>
      </c>
      <c r="E198" s="94">
        <f t="shared" si="39"/>
        <v>6.0638500000000004</v>
      </c>
    </row>
    <row r="199" spans="1:5">
      <c r="A199" s="94">
        <v>9.5</v>
      </c>
      <c r="B199" s="94">
        <v>5.7975000000000003</v>
      </c>
      <c r="C199" s="94">
        <v>0.67169999999999996</v>
      </c>
      <c r="D199" s="94">
        <f t="shared" si="38"/>
        <v>5.1257999999999999</v>
      </c>
      <c r="E199" s="94">
        <f t="shared" si="39"/>
        <v>6.4692000000000007</v>
      </c>
    </row>
    <row r="200" spans="1:5">
      <c r="A200" s="94">
        <v>9.5500000000000007</v>
      </c>
      <c r="B200" s="94">
        <v>6.0594999999999999</v>
      </c>
      <c r="C200" s="94">
        <v>0.9758</v>
      </c>
      <c r="D200" s="94">
        <f t="shared" si="38"/>
        <v>5.0837000000000003</v>
      </c>
      <c r="E200" s="94">
        <f t="shared" si="39"/>
        <v>7.0352999999999994</v>
      </c>
    </row>
    <row r="201" spans="1:5">
      <c r="A201" s="94">
        <v>9.6000000000000014</v>
      </c>
      <c r="B201" s="94">
        <v>5.9272999999999998</v>
      </c>
      <c r="C201" s="94">
        <v>0.88269999999999982</v>
      </c>
      <c r="D201" s="94">
        <f t="shared" ref="D201:D264" si="40">MAX(0,(B201-C201))</f>
        <v>5.0446</v>
      </c>
      <c r="E201" s="94">
        <f t="shared" ref="E201:E264" si="41">B201+C201</f>
        <v>6.81</v>
      </c>
    </row>
    <row r="202" spans="1:5">
      <c r="A202" s="94">
        <v>9.6500000000000021</v>
      </c>
      <c r="B202" s="94">
        <v>5.8315000000000001</v>
      </c>
      <c r="C202" s="94">
        <v>0.74295</v>
      </c>
      <c r="D202" s="94">
        <f t="shared" si="40"/>
        <v>5.0885499999999997</v>
      </c>
      <c r="E202" s="94">
        <f t="shared" si="41"/>
        <v>6.5744500000000006</v>
      </c>
    </row>
    <row r="203" spans="1:5">
      <c r="A203" s="94">
        <v>9.7000000000000028</v>
      </c>
      <c r="B203" s="94">
        <v>5.7609000000000004</v>
      </c>
      <c r="C203" s="94">
        <v>0.60650000000000004</v>
      </c>
      <c r="D203" s="94">
        <f t="shared" si="40"/>
        <v>5.1544000000000008</v>
      </c>
      <c r="E203" s="94">
        <f t="shared" si="41"/>
        <v>6.3673999999999999</v>
      </c>
    </row>
    <row r="204" spans="1:5">
      <c r="A204" s="94">
        <v>9.7500000000000036</v>
      </c>
      <c r="B204" s="94">
        <v>5.8219000000000003</v>
      </c>
      <c r="C204" s="94">
        <v>0.6915</v>
      </c>
      <c r="D204" s="94">
        <f t="shared" si="40"/>
        <v>5.1303999999999998</v>
      </c>
      <c r="E204" s="94">
        <f t="shared" si="41"/>
        <v>6.5134000000000007</v>
      </c>
    </row>
    <row r="205" spans="1:5">
      <c r="A205" s="94">
        <v>9.8000000000000043</v>
      </c>
      <c r="B205" s="94">
        <v>5.883</v>
      </c>
      <c r="C205" s="94">
        <v>0.75450000000000017</v>
      </c>
      <c r="D205" s="94">
        <f t="shared" si="40"/>
        <v>5.1284999999999998</v>
      </c>
      <c r="E205" s="94">
        <f t="shared" si="41"/>
        <v>6.6375000000000002</v>
      </c>
    </row>
    <row r="206" spans="1:5">
      <c r="A206" s="94">
        <v>9.850000000000005</v>
      </c>
      <c r="B206" s="94">
        <v>5.7355</v>
      </c>
      <c r="C206" s="94">
        <v>0.64274999999999993</v>
      </c>
      <c r="D206" s="94">
        <f t="shared" si="40"/>
        <v>5.0927500000000006</v>
      </c>
      <c r="E206" s="94">
        <f t="shared" si="41"/>
        <v>6.3782499999999995</v>
      </c>
    </row>
    <row r="207" spans="1:5">
      <c r="A207" s="94">
        <v>9.9000000000000057</v>
      </c>
      <c r="B207" s="94">
        <v>5.6154999999999999</v>
      </c>
      <c r="C207" s="94">
        <v>0.5726</v>
      </c>
      <c r="D207" s="94">
        <f t="shared" si="40"/>
        <v>5.0428999999999995</v>
      </c>
      <c r="E207" s="94">
        <f t="shared" si="41"/>
        <v>6.1881000000000004</v>
      </c>
    </row>
    <row r="208" spans="1:5">
      <c r="A208" s="94">
        <v>9.9500000000000064</v>
      </c>
      <c r="B208" s="94">
        <v>5.4987000000000004</v>
      </c>
      <c r="C208" s="94">
        <v>0.48114999999999997</v>
      </c>
      <c r="D208" s="94">
        <f t="shared" si="40"/>
        <v>5.01755</v>
      </c>
      <c r="E208" s="94">
        <f t="shared" si="41"/>
        <v>5.9798500000000008</v>
      </c>
    </row>
    <row r="209" spans="1:5">
      <c r="A209" s="94">
        <v>10.000000000000007</v>
      </c>
      <c r="B209" s="94">
        <v>5.5575999999999999</v>
      </c>
      <c r="C209" s="94">
        <v>0.45095000000000018</v>
      </c>
      <c r="D209" s="94">
        <f t="shared" si="40"/>
        <v>5.1066500000000001</v>
      </c>
      <c r="E209" s="94">
        <f t="shared" si="41"/>
        <v>6.0085499999999996</v>
      </c>
    </row>
    <row r="210" spans="1:5">
      <c r="A210" s="94">
        <v>10.050000000000008</v>
      </c>
      <c r="B210" s="94">
        <v>5.6044</v>
      </c>
      <c r="C210" s="94">
        <v>0.46909999999999963</v>
      </c>
      <c r="D210" s="94">
        <f t="shared" si="40"/>
        <v>5.1353000000000009</v>
      </c>
      <c r="E210" s="94">
        <f t="shared" si="41"/>
        <v>6.0734999999999992</v>
      </c>
    </row>
    <row r="211" spans="1:5">
      <c r="A211" s="94">
        <v>10.100000000000009</v>
      </c>
      <c r="B211" s="94">
        <v>5.5468999999999999</v>
      </c>
      <c r="C211" s="94">
        <v>0.67294999999999972</v>
      </c>
      <c r="D211" s="94">
        <f t="shared" si="40"/>
        <v>4.8739500000000007</v>
      </c>
      <c r="E211" s="94">
        <f t="shared" si="41"/>
        <v>6.2198499999999992</v>
      </c>
    </row>
    <row r="212" spans="1:5">
      <c r="A212" s="94">
        <v>10.150000000000009</v>
      </c>
      <c r="B212" s="94">
        <v>5.4410999999999996</v>
      </c>
      <c r="C212" s="94">
        <v>0.88619999999999965</v>
      </c>
      <c r="D212" s="94">
        <f t="shared" si="40"/>
        <v>4.5548999999999999</v>
      </c>
      <c r="E212" s="94">
        <f t="shared" si="41"/>
        <v>6.3272999999999993</v>
      </c>
    </row>
    <row r="213" spans="1:5">
      <c r="A213" s="94">
        <v>10.20000000000001</v>
      </c>
      <c r="B213" s="94">
        <v>5.4089</v>
      </c>
      <c r="C213" s="94">
        <v>1.09605</v>
      </c>
      <c r="D213" s="94">
        <f t="shared" si="40"/>
        <v>4.3128500000000001</v>
      </c>
      <c r="E213" s="94">
        <f t="shared" si="41"/>
        <v>6.50495</v>
      </c>
    </row>
    <row r="214" spans="1:5">
      <c r="A214" s="94">
        <v>10.250000000000011</v>
      </c>
      <c r="B214" s="94">
        <v>5.4513999999999996</v>
      </c>
      <c r="C214" s="94">
        <v>0.98265000000000002</v>
      </c>
      <c r="D214" s="94">
        <f t="shared" si="40"/>
        <v>4.46875</v>
      </c>
      <c r="E214" s="94">
        <f t="shared" si="41"/>
        <v>6.4340499999999992</v>
      </c>
    </row>
    <row r="215" spans="1:5">
      <c r="A215" s="94">
        <v>10.300000000000011</v>
      </c>
      <c r="B215" s="94">
        <v>5.5541999999999998</v>
      </c>
      <c r="C215" s="94">
        <v>0.89275000000000038</v>
      </c>
      <c r="D215" s="94">
        <f t="shared" si="40"/>
        <v>4.6614499999999994</v>
      </c>
      <c r="E215" s="94">
        <f t="shared" si="41"/>
        <v>6.4469500000000002</v>
      </c>
    </row>
    <row r="216" spans="1:5">
      <c r="A216" s="94">
        <v>10.350000000000012</v>
      </c>
      <c r="B216" s="94">
        <v>5.7183999999999999</v>
      </c>
      <c r="C216" s="94">
        <v>0.72610000000000019</v>
      </c>
      <c r="D216" s="94">
        <f t="shared" si="40"/>
        <v>4.9923000000000002</v>
      </c>
      <c r="E216" s="94">
        <f t="shared" si="41"/>
        <v>6.4444999999999997</v>
      </c>
    </row>
    <row r="217" spans="1:5">
      <c r="A217" s="94">
        <v>10.400000000000013</v>
      </c>
      <c r="B217" s="94">
        <v>5.9013999999999998</v>
      </c>
      <c r="C217" s="94">
        <v>0.55454999999999988</v>
      </c>
      <c r="D217" s="94">
        <f t="shared" si="40"/>
        <v>5.3468499999999999</v>
      </c>
      <c r="E217" s="94">
        <f t="shared" si="41"/>
        <v>6.4559499999999996</v>
      </c>
    </row>
    <row r="218" spans="1:5">
      <c r="A218" s="94">
        <v>10.450000000000014</v>
      </c>
      <c r="B218" s="94">
        <v>6.0777000000000001</v>
      </c>
      <c r="C218" s="94">
        <v>0.42295000000000016</v>
      </c>
      <c r="D218" s="94">
        <f t="shared" si="40"/>
        <v>5.6547499999999999</v>
      </c>
      <c r="E218" s="94">
        <f t="shared" si="41"/>
        <v>6.5006500000000003</v>
      </c>
    </row>
    <row r="219" spans="1:5">
      <c r="A219" s="94">
        <v>10.500000000000014</v>
      </c>
      <c r="B219" s="94">
        <v>6.0148999999999999</v>
      </c>
      <c r="C219" s="94">
        <v>0.41590000000000016</v>
      </c>
      <c r="D219" s="94">
        <f t="shared" si="40"/>
        <v>5.5990000000000002</v>
      </c>
      <c r="E219" s="94">
        <f t="shared" si="41"/>
        <v>6.4307999999999996</v>
      </c>
    </row>
    <row r="220" spans="1:5">
      <c r="A220" s="94">
        <v>10.550000000000015</v>
      </c>
      <c r="B220" s="94">
        <v>5.9913999999999996</v>
      </c>
      <c r="C220" s="94">
        <v>0.42525000000000013</v>
      </c>
      <c r="D220" s="94">
        <f t="shared" si="40"/>
        <v>5.5661499999999995</v>
      </c>
      <c r="E220" s="94">
        <f t="shared" si="41"/>
        <v>6.4166499999999997</v>
      </c>
    </row>
    <row r="221" spans="1:5">
      <c r="A221" s="94">
        <v>10.600000000000016</v>
      </c>
      <c r="B221" s="94">
        <v>6.0217000000000001</v>
      </c>
      <c r="C221" s="94">
        <v>0.58415000000000017</v>
      </c>
      <c r="D221" s="94">
        <f t="shared" si="40"/>
        <v>5.4375499999999999</v>
      </c>
      <c r="E221" s="94">
        <f t="shared" si="41"/>
        <v>6.6058500000000002</v>
      </c>
    </row>
    <row r="222" spans="1:5">
      <c r="A222" s="94">
        <v>10.650000000000016</v>
      </c>
      <c r="B222" s="94">
        <v>6.0476999999999999</v>
      </c>
      <c r="C222" s="94">
        <v>0.80885000000000007</v>
      </c>
      <c r="D222" s="94">
        <f t="shared" si="40"/>
        <v>5.2388499999999993</v>
      </c>
      <c r="E222" s="94">
        <f t="shared" si="41"/>
        <v>6.8565500000000004</v>
      </c>
    </row>
    <row r="223" spans="1:5">
      <c r="A223" s="94">
        <v>10.700000000000017</v>
      </c>
      <c r="B223" s="94">
        <v>6.0890000000000004</v>
      </c>
      <c r="C223" s="94">
        <v>0.95300000000000029</v>
      </c>
      <c r="D223" s="94">
        <f t="shared" si="40"/>
        <v>5.1360000000000001</v>
      </c>
      <c r="E223" s="94">
        <f t="shared" si="41"/>
        <v>7.0420000000000007</v>
      </c>
    </row>
    <row r="224" spans="1:5">
      <c r="A224" s="94">
        <v>10.750000000000018</v>
      </c>
      <c r="B224" s="94">
        <v>5.8723000000000001</v>
      </c>
      <c r="C224" s="94">
        <v>0.89000000000000012</v>
      </c>
      <c r="D224" s="94">
        <f t="shared" si="40"/>
        <v>4.9823000000000004</v>
      </c>
      <c r="E224" s="94">
        <f t="shared" si="41"/>
        <v>6.7622999999999998</v>
      </c>
    </row>
    <row r="225" spans="1:5">
      <c r="A225" s="94">
        <v>10.800000000000018</v>
      </c>
      <c r="B225" s="94">
        <v>5.7183000000000002</v>
      </c>
      <c r="C225" s="94">
        <v>0.87745000000000006</v>
      </c>
      <c r="D225" s="94">
        <f t="shared" si="40"/>
        <v>4.8408499999999997</v>
      </c>
      <c r="E225" s="94">
        <f t="shared" si="41"/>
        <v>6.5957500000000007</v>
      </c>
    </row>
    <row r="226" spans="1:5">
      <c r="A226" s="94">
        <v>10.850000000000019</v>
      </c>
      <c r="B226" s="94">
        <v>5.8101000000000003</v>
      </c>
      <c r="C226" s="94">
        <v>2.0289000000000001</v>
      </c>
      <c r="D226" s="94">
        <f t="shared" si="40"/>
        <v>3.7812000000000001</v>
      </c>
      <c r="E226" s="94">
        <f t="shared" si="41"/>
        <v>7.8390000000000004</v>
      </c>
    </row>
    <row r="227" spans="1:5">
      <c r="A227" s="94">
        <v>10.90000000000002</v>
      </c>
      <c r="B227" s="94">
        <v>5.8952999999999998</v>
      </c>
      <c r="C227" s="94">
        <v>3.2630499999999998</v>
      </c>
      <c r="D227" s="94">
        <f t="shared" si="40"/>
        <v>2.63225</v>
      </c>
      <c r="E227" s="94">
        <f t="shared" si="41"/>
        <v>9.1583499999999987</v>
      </c>
    </row>
    <row r="228" spans="1:5">
      <c r="A228" s="94">
        <v>10.950000000000021</v>
      </c>
      <c r="B228" s="94">
        <v>5.9673999999999996</v>
      </c>
      <c r="C228" s="94">
        <v>3.4251499999999999</v>
      </c>
      <c r="D228" s="94">
        <f t="shared" si="40"/>
        <v>2.5422499999999997</v>
      </c>
      <c r="E228" s="94">
        <f t="shared" si="41"/>
        <v>9.39255</v>
      </c>
    </row>
    <row r="229" spans="1:5">
      <c r="A229" s="94">
        <v>11.000000000000021</v>
      </c>
      <c r="B229" s="94">
        <v>5.8407</v>
      </c>
      <c r="C229" s="94">
        <v>2.1708000000000003</v>
      </c>
      <c r="D229" s="94">
        <f t="shared" si="40"/>
        <v>3.6698999999999997</v>
      </c>
      <c r="E229" s="94">
        <f t="shared" si="41"/>
        <v>8.0114999999999998</v>
      </c>
    </row>
    <row r="230" spans="1:5">
      <c r="A230" s="94">
        <v>11.050000000000022</v>
      </c>
      <c r="B230" s="94">
        <v>5.7404999999999999</v>
      </c>
      <c r="C230" s="94">
        <v>0.73225000000000007</v>
      </c>
      <c r="D230" s="94">
        <f t="shared" si="40"/>
        <v>5.0082500000000003</v>
      </c>
      <c r="E230" s="94">
        <f t="shared" si="41"/>
        <v>6.4727499999999996</v>
      </c>
    </row>
    <row r="231" spans="1:5">
      <c r="A231" s="94">
        <v>11.100000000000023</v>
      </c>
      <c r="B231" s="94">
        <v>5.8719000000000001</v>
      </c>
      <c r="C231" s="94">
        <v>0.95854999999999979</v>
      </c>
      <c r="D231" s="94">
        <f t="shared" si="40"/>
        <v>4.9133500000000003</v>
      </c>
      <c r="E231" s="94">
        <f t="shared" si="41"/>
        <v>6.8304499999999999</v>
      </c>
    </row>
    <row r="232" spans="1:5">
      <c r="A232" s="94">
        <v>11.150000000000023</v>
      </c>
      <c r="B232" s="94">
        <v>6.0164</v>
      </c>
      <c r="C232" s="94">
        <v>1.2134</v>
      </c>
      <c r="D232" s="94">
        <f t="shared" si="40"/>
        <v>4.8029999999999999</v>
      </c>
      <c r="E232" s="94">
        <f t="shared" si="41"/>
        <v>7.2298</v>
      </c>
    </row>
    <row r="233" spans="1:5">
      <c r="A233" s="94">
        <v>11.200000000000024</v>
      </c>
      <c r="B233" s="94">
        <v>6.1993</v>
      </c>
      <c r="C233" s="94">
        <v>1.2857000000000003</v>
      </c>
      <c r="D233" s="94">
        <f t="shared" si="40"/>
        <v>4.9135999999999997</v>
      </c>
      <c r="E233" s="94">
        <f t="shared" si="41"/>
        <v>7.4850000000000003</v>
      </c>
    </row>
    <row r="234" spans="1:5">
      <c r="A234" s="94">
        <v>11.250000000000025</v>
      </c>
      <c r="B234" s="94">
        <v>6.3997999999999999</v>
      </c>
      <c r="C234" s="94">
        <v>1.2703000000000002</v>
      </c>
      <c r="D234" s="94">
        <f t="shared" si="40"/>
        <v>5.1295000000000002</v>
      </c>
      <c r="E234" s="94">
        <f t="shared" si="41"/>
        <v>7.6700999999999997</v>
      </c>
    </row>
    <row r="235" spans="1:5">
      <c r="A235" s="94">
        <v>11.300000000000026</v>
      </c>
      <c r="B235" s="94">
        <v>6.5717999999999996</v>
      </c>
      <c r="C235" s="94">
        <v>1.27135</v>
      </c>
      <c r="D235" s="94">
        <f t="shared" si="40"/>
        <v>5.3004499999999997</v>
      </c>
      <c r="E235" s="94">
        <f t="shared" si="41"/>
        <v>7.8431499999999996</v>
      </c>
    </row>
    <row r="236" spans="1:5">
      <c r="A236" s="94">
        <v>11.350000000000026</v>
      </c>
      <c r="B236" s="94">
        <v>7.3838999999999997</v>
      </c>
      <c r="C236" s="94">
        <v>2.7366500000000005</v>
      </c>
      <c r="D236" s="94">
        <f t="shared" si="40"/>
        <v>4.6472499999999997</v>
      </c>
      <c r="E236" s="94">
        <f t="shared" si="41"/>
        <v>10.12055</v>
      </c>
    </row>
    <row r="237" spans="1:5">
      <c r="A237" s="94">
        <v>11.400000000000027</v>
      </c>
      <c r="B237" s="94">
        <v>8.6207999999999991</v>
      </c>
      <c r="C237" s="94">
        <v>4.7482000000000006</v>
      </c>
      <c r="D237" s="94">
        <f t="shared" si="40"/>
        <v>3.8725999999999985</v>
      </c>
      <c r="E237" s="94">
        <f t="shared" si="41"/>
        <v>13.369</v>
      </c>
    </row>
    <row r="238" spans="1:5">
      <c r="A238" s="94">
        <v>11.450000000000028</v>
      </c>
      <c r="B238" s="94">
        <v>9.2218</v>
      </c>
      <c r="C238" s="94">
        <v>5.7788500000000003</v>
      </c>
      <c r="D238" s="94">
        <f t="shared" si="40"/>
        <v>3.4429499999999997</v>
      </c>
      <c r="E238" s="94">
        <f t="shared" si="41"/>
        <v>15.00065</v>
      </c>
    </row>
    <row r="239" spans="1:5">
      <c r="A239" s="94">
        <v>11.500000000000028</v>
      </c>
      <c r="B239" s="94">
        <v>9.3069000000000006</v>
      </c>
      <c r="C239" s="94">
        <v>5.5788000000000002</v>
      </c>
      <c r="D239" s="94">
        <f t="shared" si="40"/>
        <v>3.7281000000000004</v>
      </c>
      <c r="E239" s="94">
        <f t="shared" si="41"/>
        <v>14.8857</v>
      </c>
    </row>
    <row r="240" spans="1:5">
      <c r="A240" s="94">
        <v>11.550000000000029</v>
      </c>
      <c r="B240" s="94">
        <v>9.3905999999999992</v>
      </c>
      <c r="C240" s="94">
        <v>5.3431499999999996</v>
      </c>
      <c r="D240" s="94">
        <f t="shared" si="40"/>
        <v>4.0474499999999995</v>
      </c>
      <c r="E240" s="94">
        <f t="shared" si="41"/>
        <v>14.733749999999999</v>
      </c>
    </row>
    <row r="241" spans="1:5">
      <c r="A241" s="94">
        <v>11.60000000000003</v>
      </c>
      <c r="B241" s="94">
        <v>10.062200000000001</v>
      </c>
      <c r="C241" s="94">
        <v>4.4600499999999998</v>
      </c>
      <c r="D241" s="94">
        <f t="shared" si="40"/>
        <v>5.6021500000000009</v>
      </c>
      <c r="E241" s="94">
        <f t="shared" si="41"/>
        <v>14.52225</v>
      </c>
    </row>
    <row r="242" spans="1:5">
      <c r="A242" s="94">
        <v>11.650000000000031</v>
      </c>
      <c r="B242" s="94">
        <v>10.901199999999999</v>
      </c>
      <c r="C242" s="94">
        <v>3.54575</v>
      </c>
      <c r="D242" s="94">
        <f t="shared" si="40"/>
        <v>7.3554499999999994</v>
      </c>
      <c r="E242" s="94">
        <f t="shared" si="41"/>
        <v>14.446949999999999</v>
      </c>
    </row>
    <row r="243" spans="1:5">
      <c r="A243" s="94">
        <v>11.700000000000031</v>
      </c>
      <c r="B243" s="94">
        <v>11.541</v>
      </c>
      <c r="C243" s="94">
        <v>2.8452500000000001</v>
      </c>
      <c r="D243" s="94">
        <f t="shared" si="40"/>
        <v>8.6957500000000003</v>
      </c>
      <c r="E243" s="94">
        <f t="shared" si="41"/>
        <v>14.38625</v>
      </c>
    </row>
    <row r="244" spans="1:5">
      <c r="A244" s="94">
        <v>11.750000000000032</v>
      </c>
      <c r="B244" s="94">
        <v>10.916399999999999</v>
      </c>
      <c r="C244" s="94">
        <v>2.9506999999999999</v>
      </c>
      <c r="D244" s="94">
        <f t="shared" si="40"/>
        <v>7.9657</v>
      </c>
      <c r="E244" s="94">
        <f t="shared" si="41"/>
        <v>13.867099999999999</v>
      </c>
    </row>
    <row r="245" spans="1:5">
      <c r="A245" s="94">
        <v>11.800000000000033</v>
      </c>
      <c r="B245" s="94">
        <v>10.2822</v>
      </c>
      <c r="C245" s="94">
        <v>2.9787499999999998</v>
      </c>
      <c r="D245" s="94">
        <f t="shared" si="40"/>
        <v>7.3034499999999998</v>
      </c>
      <c r="E245" s="94">
        <f t="shared" si="41"/>
        <v>13.260949999999999</v>
      </c>
    </row>
    <row r="246" spans="1:5">
      <c r="A246" s="94">
        <v>11.850000000000033</v>
      </c>
      <c r="B246" s="94">
        <v>10.159800000000001</v>
      </c>
      <c r="C246" s="94">
        <v>2.6745999999999994</v>
      </c>
      <c r="D246" s="94">
        <f t="shared" si="40"/>
        <v>7.4852000000000007</v>
      </c>
      <c r="E246" s="94">
        <f t="shared" si="41"/>
        <v>12.8344</v>
      </c>
    </row>
    <row r="247" spans="1:5">
      <c r="A247" s="94">
        <v>11.900000000000034</v>
      </c>
      <c r="B247" s="94">
        <v>10.092700000000001</v>
      </c>
      <c r="C247" s="94">
        <v>2.3403</v>
      </c>
      <c r="D247" s="94">
        <f t="shared" si="40"/>
        <v>7.7524000000000006</v>
      </c>
      <c r="E247" s="94">
        <f t="shared" si="41"/>
        <v>12.433</v>
      </c>
    </row>
    <row r="248" spans="1:5">
      <c r="A248" s="94">
        <v>11.950000000000035</v>
      </c>
      <c r="B248" s="94">
        <v>10.924899999999999</v>
      </c>
      <c r="C248" s="94">
        <v>1.9770000000000003</v>
      </c>
      <c r="D248" s="94">
        <f t="shared" si="40"/>
        <v>8.9478999999999989</v>
      </c>
      <c r="E248" s="94">
        <f t="shared" si="41"/>
        <v>12.901899999999999</v>
      </c>
    </row>
    <row r="249" spans="1:5">
      <c r="A249" s="94">
        <v>12.000000000000036</v>
      </c>
      <c r="B249" s="94">
        <v>12.6297</v>
      </c>
      <c r="C249" s="94">
        <v>3.6150000000000002</v>
      </c>
      <c r="D249" s="94">
        <f t="shared" si="40"/>
        <v>9.0146999999999995</v>
      </c>
      <c r="E249" s="94">
        <f t="shared" si="41"/>
        <v>16.244700000000002</v>
      </c>
    </row>
    <row r="250" spans="1:5">
      <c r="A250" s="94">
        <v>12.050000000000036</v>
      </c>
      <c r="B250" s="94">
        <v>14.0579</v>
      </c>
      <c r="C250" s="94">
        <v>4.2017000000000007</v>
      </c>
      <c r="D250" s="94">
        <f t="shared" si="40"/>
        <v>9.8561999999999994</v>
      </c>
      <c r="E250" s="94">
        <f t="shared" si="41"/>
        <v>18.259599999999999</v>
      </c>
    </row>
    <row r="251" spans="1:5">
      <c r="A251" s="94">
        <v>12.100000000000037</v>
      </c>
      <c r="B251" s="94">
        <v>14.9521</v>
      </c>
      <c r="C251" s="94">
        <v>5.2629999999999999</v>
      </c>
      <c r="D251" s="94">
        <f t="shared" si="40"/>
        <v>9.6890999999999998</v>
      </c>
      <c r="E251" s="94">
        <f t="shared" si="41"/>
        <v>20.2151</v>
      </c>
    </row>
    <row r="252" spans="1:5">
      <c r="A252" s="94">
        <v>12.150000000000038</v>
      </c>
      <c r="B252" s="94">
        <v>14.9529</v>
      </c>
      <c r="C252" s="94">
        <v>5.5426000000000002</v>
      </c>
      <c r="D252" s="94">
        <f t="shared" si="40"/>
        <v>9.4102999999999994</v>
      </c>
      <c r="E252" s="94">
        <f t="shared" si="41"/>
        <v>20.4955</v>
      </c>
    </row>
    <row r="253" spans="1:5">
      <c r="A253" s="94">
        <v>12.200000000000038</v>
      </c>
      <c r="B253" s="94">
        <v>14.7393</v>
      </c>
      <c r="C253" s="94">
        <v>5.5058000000000007</v>
      </c>
      <c r="D253" s="94">
        <f t="shared" si="40"/>
        <v>9.2334999999999994</v>
      </c>
      <c r="E253" s="94">
        <f t="shared" si="41"/>
        <v>20.245100000000001</v>
      </c>
    </row>
    <row r="254" spans="1:5">
      <c r="A254" s="94">
        <v>12.250000000000039</v>
      </c>
      <c r="B254" s="94">
        <v>14.951599999999999</v>
      </c>
      <c r="C254" s="94">
        <v>4.8063999999999982</v>
      </c>
      <c r="D254" s="94">
        <f t="shared" si="40"/>
        <v>10.145200000000001</v>
      </c>
      <c r="E254" s="94">
        <f t="shared" si="41"/>
        <v>19.757999999999996</v>
      </c>
    </row>
    <row r="255" spans="1:5">
      <c r="A255" s="94">
        <v>12.30000000000004</v>
      </c>
      <c r="B255" s="94">
        <v>14.9536</v>
      </c>
      <c r="C255" s="94">
        <v>3.9921000000000006</v>
      </c>
      <c r="D255" s="94">
        <f t="shared" si="40"/>
        <v>10.961499999999999</v>
      </c>
      <c r="E255" s="94">
        <f t="shared" si="41"/>
        <v>18.945700000000002</v>
      </c>
    </row>
    <row r="256" spans="1:5">
      <c r="A256" s="94">
        <v>12.350000000000041</v>
      </c>
      <c r="B256" s="94">
        <v>14.9474</v>
      </c>
      <c r="C256" s="94">
        <v>4.7591999999999999</v>
      </c>
      <c r="D256" s="94">
        <f t="shared" si="40"/>
        <v>10.1882</v>
      </c>
      <c r="E256" s="94">
        <f t="shared" si="41"/>
        <v>19.706600000000002</v>
      </c>
    </row>
    <row r="257" spans="1:5">
      <c r="A257" s="94">
        <v>12.400000000000041</v>
      </c>
      <c r="B257" s="94">
        <v>14.955</v>
      </c>
      <c r="C257" s="94">
        <v>5.9830000000000005</v>
      </c>
      <c r="D257" s="94">
        <f t="shared" si="40"/>
        <v>8.9719999999999995</v>
      </c>
      <c r="E257" s="94">
        <f t="shared" si="41"/>
        <v>20.938000000000002</v>
      </c>
    </row>
    <row r="258" spans="1:5">
      <c r="A258" s="94">
        <v>12.450000000000042</v>
      </c>
      <c r="B258" s="94">
        <v>14.726800000000001</v>
      </c>
      <c r="C258" s="94">
        <v>6.3374000000000006</v>
      </c>
      <c r="D258" s="94">
        <f t="shared" si="40"/>
        <v>8.3894000000000002</v>
      </c>
      <c r="E258" s="94">
        <f t="shared" si="41"/>
        <v>21.0642</v>
      </c>
    </row>
    <row r="259" spans="1:5">
      <c r="A259" s="94">
        <v>12.500000000000043</v>
      </c>
      <c r="B259" s="94">
        <v>14.6343</v>
      </c>
      <c r="C259" s="94">
        <v>5.8844999999999992</v>
      </c>
      <c r="D259" s="94">
        <f t="shared" si="40"/>
        <v>8.7498000000000005</v>
      </c>
      <c r="E259" s="94">
        <f t="shared" si="41"/>
        <v>20.518799999999999</v>
      </c>
    </row>
    <row r="260" spans="1:5">
      <c r="A260" s="94">
        <v>12.550000000000043</v>
      </c>
      <c r="B260" s="94">
        <v>14.479100000000001</v>
      </c>
      <c r="C260" s="94">
        <v>5.497300000000001</v>
      </c>
      <c r="D260" s="94">
        <f t="shared" si="40"/>
        <v>8.9817999999999998</v>
      </c>
      <c r="E260" s="94">
        <f t="shared" si="41"/>
        <v>19.976400000000002</v>
      </c>
    </row>
    <row r="261" spans="1:5">
      <c r="A261" s="94">
        <v>12.600000000000044</v>
      </c>
      <c r="B261" s="94">
        <v>14.651</v>
      </c>
      <c r="C261" s="94">
        <v>5.4405000000000001</v>
      </c>
      <c r="D261" s="94">
        <f t="shared" si="40"/>
        <v>9.2104999999999997</v>
      </c>
      <c r="E261" s="94">
        <f t="shared" si="41"/>
        <v>20.0915</v>
      </c>
    </row>
    <row r="262" spans="1:5">
      <c r="A262" s="94">
        <v>12.650000000000045</v>
      </c>
      <c r="B262" s="94">
        <v>14.9558</v>
      </c>
      <c r="C262" s="94">
        <v>5.5616000000000003</v>
      </c>
      <c r="D262" s="94">
        <f t="shared" si="40"/>
        <v>9.3941999999999997</v>
      </c>
      <c r="E262" s="94">
        <f t="shared" si="41"/>
        <v>20.517400000000002</v>
      </c>
    </row>
    <row r="263" spans="1:5">
      <c r="A263" s="94">
        <v>12.700000000000045</v>
      </c>
      <c r="B263" s="94">
        <v>14.945600000000001</v>
      </c>
      <c r="C263" s="94">
        <v>5.3149000000000015</v>
      </c>
      <c r="D263" s="94">
        <f t="shared" si="40"/>
        <v>9.6306999999999992</v>
      </c>
      <c r="E263" s="94">
        <f t="shared" si="41"/>
        <v>20.2605</v>
      </c>
    </row>
    <row r="264" spans="1:5">
      <c r="A264" s="94">
        <v>12.750000000000046</v>
      </c>
      <c r="B264" s="94">
        <v>14.4594</v>
      </c>
      <c r="C264" s="94">
        <v>4.9923999999999999</v>
      </c>
      <c r="D264" s="94">
        <f t="shared" si="40"/>
        <v>9.4670000000000005</v>
      </c>
      <c r="E264" s="94">
        <f t="shared" si="41"/>
        <v>19.451799999999999</v>
      </c>
    </row>
    <row r="265" spans="1:5">
      <c r="A265" s="94">
        <v>12.800000000000047</v>
      </c>
      <c r="B265" s="94">
        <v>13.6218</v>
      </c>
      <c r="C265" s="94">
        <v>4.2824000000000009</v>
      </c>
      <c r="D265" s="94">
        <f t="shared" ref="D265:D323" si="42">MAX(0,(B265-C265))</f>
        <v>9.3393999999999995</v>
      </c>
      <c r="E265" s="94">
        <f t="shared" ref="E265:E323" si="43">B265+C265</f>
        <v>17.904200000000003</v>
      </c>
    </row>
    <row r="266" spans="1:5">
      <c r="A266" s="94">
        <v>12.850000000000048</v>
      </c>
      <c r="B266" s="94">
        <v>14.3985</v>
      </c>
      <c r="C266" s="94">
        <v>5.4816000000000003</v>
      </c>
      <c r="D266" s="94">
        <f t="shared" si="42"/>
        <v>8.9169</v>
      </c>
      <c r="E266" s="94">
        <f t="shared" si="43"/>
        <v>19.880099999999999</v>
      </c>
    </row>
    <row r="267" spans="1:5">
      <c r="A267" s="94">
        <v>12.900000000000048</v>
      </c>
      <c r="B267" s="94">
        <v>14.9594</v>
      </c>
      <c r="C267" s="94">
        <v>6.6569000000000003</v>
      </c>
      <c r="D267" s="94">
        <f t="shared" si="42"/>
        <v>8.3025000000000002</v>
      </c>
      <c r="E267" s="94">
        <f t="shared" si="43"/>
        <v>21.616300000000003</v>
      </c>
    </row>
    <row r="268" spans="1:5">
      <c r="A268" s="94">
        <v>12.950000000000049</v>
      </c>
      <c r="B268" s="94">
        <v>14.961499999999999</v>
      </c>
      <c r="C268" s="94">
        <v>7.2283999999999988</v>
      </c>
      <c r="D268" s="94">
        <f t="shared" si="42"/>
        <v>7.7331000000000003</v>
      </c>
      <c r="E268" s="94">
        <f t="shared" si="43"/>
        <v>22.189899999999998</v>
      </c>
    </row>
    <row r="269" spans="1:5">
      <c r="A269" s="94">
        <v>13.00000000000005</v>
      </c>
      <c r="B269" s="94">
        <v>14.9567</v>
      </c>
      <c r="C269" s="94">
        <v>7.1054999999999993</v>
      </c>
      <c r="D269" s="94">
        <f t="shared" si="42"/>
        <v>7.8512000000000004</v>
      </c>
      <c r="E269" s="94">
        <f t="shared" si="43"/>
        <v>22.062199999999997</v>
      </c>
    </row>
    <row r="270" spans="1:5">
      <c r="A270" s="94">
        <v>13.05000000000005</v>
      </c>
      <c r="B270" s="94">
        <v>14.949199999999999</v>
      </c>
      <c r="C270" s="94">
        <v>7.010699999999999</v>
      </c>
      <c r="D270" s="94">
        <f t="shared" si="42"/>
        <v>7.9385000000000003</v>
      </c>
      <c r="E270" s="94">
        <f t="shared" si="43"/>
        <v>21.959899999999998</v>
      </c>
    </row>
    <row r="271" spans="1:5">
      <c r="A271" s="94">
        <v>13.100000000000051</v>
      </c>
      <c r="B271" s="94">
        <v>14.9498</v>
      </c>
      <c r="C271" s="94">
        <v>7.6093000000000002</v>
      </c>
      <c r="D271" s="94">
        <f t="shared" si="42"/>
        <v>7.3404999999999996</v>
      </c>
      <c r="E271" s="94">
        <f t="shared" si="43"/>
        <v>22.559100000000001</v>
      </c>
    </row>
    <row r="272" spans="1:5">
      <c r="A272" s="94">
        <v>13.150000000000052</v>
      </c>
      <c r="B272" s="94">
        <v>14.9519</v>
      </c>
      <c r="C272" s="94">
        <v>8.3135000000000012</v>
      </c>
      <c r="D272" s="94">
        <f t="shared" si="42"/>
        <v>6.638399999999999</v>
      </c>
      <c r="E272" s="94">
        <f t="shared" si="43"/>
        <v>23.2654</v>
      </c>
    </row>
    <row r="273" spans="1:5">
      <c r="A273" s="94">
        <v>13.200000000000053</v>
      </c>
      <c r="B273" s="94">
        <v>14.201499999999999</v>
      </c>
      <c r="C273" s="94">
        <v>8.1982999999999997</v>
      </c>
      <c r="D273" s="94">
        <f t="shared" si="42"/>
        <v>6.0031999999999996</v>
      </c>
      <c r="E273" s="94">
        <f t="shared" si="43"/>
        <v>22.399799999999999</v>
      </c>
    </row>
    <row r="274" spans="1:5">
      <c r="A274" s="94">
        <v>13.250000000000053</v>
      </c>
      <c r="B274" s="94">
        <v>14.478899999999999</v>
      </c>
      <c r="C274" s="94">
        <v>9.0756999999999994</v>
      </c>
      <c r="D274" s="94">
        <f t="shared" si="42"/>
        <v>5.4032</v>
      </c>
      <c r="E274" s="94">
        <f t="shared" si="43"/>
        <v>23.554600000000001</v>
      </c>
    </row>
    <row r="275" spans="1:5">
      <c r="A275" s="94">
        <v>13.300000000000054</v>
      </c>
      <c r="B275" s="94">
        <v>14.9458</v>
      </c>
      <c r="C275" s="94">
        <v>10.200700000000001</v>
      </c>
      <c r="D275" s="94">
        <f t="shared" si="42"/>
        <v>4.745099999999999</v>
      </c>
      <c r="E275" s="94">
        <f t="shared" si="43"/>
        <v>25.146500000000003</v>
      </c>
    </row>
    <row r="276" spans="1:5">
      <c r="A276" s="94">
        <v>13.350000000000055</v>
      </c>
      <c r="B276" s="94">
        <v>13.351900000000001</v>
      </c>
      <c r="C276" s="94">
        <v>7.9210000000000003</v>
      </c>
      <c r="D276" s="94">
        <f t="shared" si="42"/>
        <v>5.4309000000000003</v>
      </c>
      <c r="E276" s="94">
        <f t="shared" si="43"/>
        <v>21.2729</v>
      </c>
    </row>
    <row r="277" spans="1:5">
      <c r="A277" s="94">
        <v>13.400000000000055</v>
      </c>
      <c r="B277" s="94">
        <v>11.5609</v>
      </c>
      <c r="C277" s="94">
        <v>5.4671000000000003</v>
      </c>
      <c r="D277" s="94">
        <f t="shared" si="42"/>
        <v>6.0937999999999999</v>
      </c>
      <c r="E277" s="94">
        <f t="shared" si="43"/>
        <v>17.027999999999999</v>
      </c>
    </row>
    <row r="278" spans="1:5">
      <c r="A278" s="94">
        <v>13.450000000000056</v>
      </c>
      <c r="B278" s="94">
        <v>9.9300999999999995</v>
      </c>
      <c r="C278" s="94">
        <v>2.5304000000000002</v>
      </c>
      <c r="D278" s="94">
        <f t="shared" si="42"/>
        <v>7.3996999999999993</v>
      </c>
      <c r="E278" s="94">
        <f t="shared" si="43"/>
        <v>12.4605</v>
      </c>
    </row>
    <row r="279" spans="1:5">
      <c r="A279" s="94">
        <v>13.500000000000057</v>
      </c>
      <c r="B279" s="94">
        <v>9.6168999999999993</v>
      </c>
      <c r="C279" s="94">
        <v>1.5888</v>
      </c>
      <c r="D279" s="94">
        <f t="shared" si="42"/>
        <v>8.0280999999999985</v>
      </c>
      <c r="E279" s="94">
        <f t="shared" si="43"/>
        <v>11.2057</v>
      </c>
    </row>
    <row r="280" spans="1:5">
      <c r="A280" s="94">
        <v>13.550000000000058</v>
      </c>
      <c r="B280" s="94">
        <v>9.2761999999999993</v>
      </c>
      <c r="C280" s="94">
        <v>0.96289999999999942</v>
      </c>
      <c r="D280" s="94">
        <f t="shared" si="42"/>
        <v>8.3132999999999999</v>
      </c>
      <c r="E280" s="94">
        <f t="shared" si="43"/>
        <v>10.239099999999999</v>
      </c>
    </row>
    <row r="281" spans="1:5">
      <c r="A281" s="94">
        <v>13.600000000000058</v>
      </c>
      <c r="B281" s="94">
        <v>9.2988</v>
      </c>
      <c r="C281" s="94">
        <v>0.77439999999999998</v>
      </c>
      <c r="D281" s="94">
        <f t="shared" si="42"/>
        <v>8.5244</v>
      </c>
      <c r="E281" s="94">
        <f t="shared" si="43"/>
        <v>10.0732</v>
      </c>
    </row>
    <row r="282" spans="1:5">
      <c r="A282" s="94">
        <v>13.650000000000059</v>
      </c>
      <c r="B282" s="94">
        <v>9.3378999999999994</v>
      </c>
      <c r="C282" s="94">
        <v>0.62100000000000044</v>
      </c>
      <c r="D282" s="94">
        <f t="shared" si="42"/>
        <v>8.716899999999999</v>
      </c>
      <c r="E282" s="94">
        <f t="shared" si="43"/>
        <v>9.9588999999999999</v>
      </c>
    </row>
    <row r="283" spans="1:5">
      <c r="A283" s="94">
        <v>13.70000000000006</v>
      </c>
      <c r="B283" s="94">
        <v>9.3693000000000008</v>
      </c>
      <c r="C283" s="94">
        <v>0.48125000000000018</v>
      </c>
      <c r="D283" s="94">
        <f t="shared" si="42"/>
        <v>8.8880499999999998</v>
      </c>
      <c r="E283" s="94">
        <f t="shared" si="43"/>
        <v>9.8505500000000019</v>
      </c>
    </row>
    <row r="284" spans="1:5">
      <c r="A284" s="94">
        <v>13.75000000000006</v>
      </c>
      <c r="B284" s="94">
        <v>9.3019999999999996</v>
      </c>
      <c r="C284" s="94">
        <v>0.35080000000000044</v>
      </c>
      <c r="D284" s="94">
        <f t="shared" si="42"/>
        <v>8.9512</v>
      </c>
      <c r="E284" s="94">
        <f t="shared" si="43"/>
        <v>9.6527999999999992</v>
      </c>
    </row>
    <row r="285" spans="1:5">
      <c r="A285" s="94">
        <v>13.800000000000061</v>
      </c>
      <c r="B285" s="94">
        <v>9.2522000000000002</v>
      </c>
      <c r="C285" s="94">
        <v>0.42925000000000058</v>
      </c>
      <c r="D285" s="94">
        <f t="shared" si="42"/>
        <v>8.8229499999999987</v>
      </c>
      <c r="E285" s="94">
        <f t="shared" si="43"/>
        <v>9.6814500000000017</v>
      </c>
    </row>
    <row r="286" spans="1:5">
      <c r="A286" s="94">
        <v>13.850000000000062</v>
      </c>
      <c r="B286" s="94">
        <v>9.2431000000000001</v>
      </c>
      <c r="C286" s="94">
        <v>0.51354999999999951</v>
      </c>
      <c r="D286" s="94">
        <f t="shared" si="42"/>
        <v>8.7295499999999997</v>
      </c>
      <c r="E286" s="94">
        <f t="shared" si="43"/>
        <v>9.7566500000000005</v>
      </c>
    </row>
    <row r="287" spans="1:5">
      <c r="A287" s="94">
        <v>13.900000000000063</v>
      </c>
      <c r="B287" s="94">
        <v>9.2504000000000008</v>
      </c>
      <c r="C287" s="94">
        <v>0.59855000000000036</v>
      </c>
      <c r="D287" s="94">
        <f t="shared" si="42"/>
        <v>8.6518499999999996</v>
      </c>
      <c r="E287" s="94">
        <f t="shared" si="43"/>
        <v>9.8489500000000021</v>
      </c>
    </row>
    <row r="288" spans="1:5">
      <c r="A288" s="94">
        <v>13.950000000000063</v>
      </c>
      <c r="B288" s="94">
        <v>9.2763000000000009</v>
      </c>
      <c r="C288" s="94">
        <v>0.65334999999999965</v>
      </c>
      <c r="D288" s="94">
        <f t="shared" si="42"/>
        <v>8.6229500000000012</v>
      </c>
      <c r="E288" s="94">
        <f t="shared" si="43"/>
        <v>9.9296500000000005</v>
      </c>
    </row>
    <row r="289" spans="1:5">
      <c r="A289" s="94">
        <v>14.000000000000064</v>
      </c>
      <c r="B289" s="94">
        <v>9.2803000000000004</v>
      </c>
      <c r="C289" s="94">
        <v>0.68789999999999996</v>
      </c>
      <c r="D289" s="94">
        <f t="shared" si="42"/>
        <v>8.5924000000000014</v>
      </c>
      <c r="E289" s="94">
        <f t="shared" si="43"/>
        <v>9.9681999999999995</v>
      </c>
    </row>
    <row r="290" spans="1:5">
      <c r="A290" s="94">
        <v>14.050000000000065</v>
      </c>
      <c r="B290" s="94">
        <v>9.3270999999999997</v>
      </c>
      <c r="C290" s="94">
        <v>0.79694999999999983</v>
      </c>
      <c r="D290" s="94">
        <f t="shared" si="42"/>
        <v>8.530149999999999</v>
      </c>
      <c r="E290" s="94">
        <f t="shared" si="43"/>
        <v>10.12405</v>
      </c>
    </row>
    <row r="291" spans="1:5">
      <c r="A291" s="94">
        <v>14.100000000000065</v>
      </c>
      <c r="B291" s="94">
        <v>9.3530999999999995</v>
      </c>
      <c r="C291" s="94">
        <v>0.91805000000000003</v>
      </c>
      <c r="D291" s="94">
        <f t="shared" si="42"/>
        <v>8.4350500000000004</v>
      </c>
      <c r="E291" s="94">
        <f t="shared" si="43"/>
        <v>10.271149999999999</v>
      </c>
    </row>
    <row r="292" spans="1:5">
      <c r="A292" s="94">
        <v>14.150000000000066</v>
      </c>
      <c r="B292" s="94">
        <v>9.3571000000000009</v>
      </c>
      <c r="C292" s="94">
        <v>1.0638000000000005</v>
      </c>
      <c r="D292" s="94">
        <f t="shared" si="42"/>
        <v>8.2933000000000003</v>
      </c>
      <c r="E292" s="94">
        <f t="shared" si="43"/>
        <v>10.420900000000001</v>
      </c>
    </row>
    <row r="293" spans="1:5">
      <c r="A293" s="94">
        <v>14.200000000000067</v>
      </c>
      <c r="B293" s="94">
        <v>9.3401999999999994</v>
      </c>
      <c r="C293" s="94">
        <v>0.87265000000000015</v>
      </c>
      <c r="D293" s="94">
        <f t="shared" si="42"/>
        <v>8.4675499999999992</v>
      </c>
      <c r="E293" s="94">
        <f t="shared" si="43"/>
        <v>10.21285</v>
      </c>
    </row>
    <row r="294" spans="1:5">
      <c r="A294" s="94">
        <v>14.250000000000068</v>
      </c>
      <c r="B294" s="94">
        <v>9.1323000000000008</v>
      </c>
      <c r="C294" s="94">
        <v>0.7511000000000001</v>
      </c>
      <c r="D294" s="94">
        <f t="shared" si="42"/>
        <v>8.3811999999999998</v>
      </c>
      <c r="E294" s="94">
        <f t="shared" si="43"/>
        <v>9.8834000000000017</v>
      </c>
    </row>
    <row r="295" spans="1:5">
      <c r="A295" s="94">
        <v>14.300000000000068</v>
      </c>
      <c r="B295" s="94">
        <v>8.9123999999999999</v>
      </c>
      <c r="C295" s="94">
        <v>0.75164999999999971</v>
      </c>
      <c r="D295" s="94">
        <f t="shared" si="42"/>
        <v>8.1607500000000002</v>
      </c>
      <c r="E295" s="94">
        <f t="shared" si="43"/>
        <v>9.6640499999999996</v>
      </c>
    </row>
    <row r="296" spans="1:5">
      <c r="A296" s="94">
        <v>14.350000000000069</v>
      </c>
      <c r="B296" s="94">
        <v>8.8155000000000001</v>
      </c>
      <c r="C296" s="94">
        <v>0.76860000000000017</v>
      </c>
      <c r="D296" s="94">
        <f t="shared" si="42"/>
        <v>8.0469000000000008</v>
      </c>
      <c r="E296" s="94">
        <f t="shared" si="43"/>
        <v>9.5840999999999994</v>
      </c>
    </row>
    <row r="297" spans="1:5">
      <c r="A297" s="94">
        <v>14.40000000000007</v>
      </c>
      <c r="B297" s="94">
        <v>8.7492000000000001</v>
      </c>
      <c r="C297" s="94">
        <v>0.81140000000000034</v>
      </c>
      <c r="D297" s="94">
        <f t="shared" si="42"/>
        <v>7.9377999999999993</v>
      </c>
      <c r="E297" s="94">
        <f t="shared" si="43"/>
        <v>9.5606000000000009</v>
      </c>
    </row>
    <row r="298" spans="1:5">
      <c r="A298" s="94">
        <v>14.45000000000007</v>
      </c>
      <c r="B298" s="94">
        <v>8.6883999999999997</v>
      </c>
      <c r="C298" s="94">
        <v>0.77470000000000017</v>
      </c>
      <c r="D298" s="94">
        <f t="shared" si="42"/>
        <v>7.9136999999999995</v>
      </c>
      <c r="E298" s="94">
        <f t="shared" si="43"/>
        <v>9.4631000000000007</v>
      </c>
    </row>
    <row r="299" spans="1:5">
      <c r="A299" s="94">
        <v>14.500000000000071</v>
      </c>
      <c r="B299" s="94">
        <v>8.5869999999999997</v>
      </c>
      <c r="C299" s="94">
        <v>0.72600000000000042</v>
      </c>
      <c r="D299" s="94">
        <f t="shared" si="42"/>
        <v>7.8609999999999989</v>
      </c>
      <c r="E299" s="94">
        <f t="shared" si="43"/>
        <v>9.3130000000000006</v>
      </c>
    </row>
    <row r="300" spans="1:5">
      <c r="A300" s="94">
        <v>14.550000000000072</v>
      </c>
      <c r="B300" s="94">
        <v>8.3670000000000009</v>
      </c>
      <c r="C300" s="94">
        <v>0.77315000000000023</v>
      </c>
      <c r="D300" s="94">
        <f t="shared" si="42"/>
        <v>7.5938500000000007</v>
      </c>
      <c r="E300" s="94">
        <f t="shared" si="43"/>
        <v>9.140150000000002</v>
      </c>
    </row>
    <row r="301" spans="1:5">
      <c r="A301" s="94">
        <v>14.600000000000072</v>
      </c>
      <c r="B301" s="94">
        <v>8.4577000000000009</v>
      </c>
      <c r="C301" s="94">
        <v>0.67565000000000008</v>
      </c>
      <c r="D301" s="94">
        <f t="shared" si="42"/>
        <v>7.7820500000000008</v>
      </c>
      <c r="E301" s="94">
        <f t="shared" si="43"/>
        <v>9.1333500000000001</v>
      </c>
    </row>
    <row r="302" spans="1:5">
      <c r="A302" s="94">
        <v>14.650000000000073</v>
      </c>
      <c r="B302" s="94">
        <v>8.5584000000000007</v>
      </c>
      <c r="C302" s="94">
        <v>0.56215000000000037</v>
      </c>
      <c r="D302" s="94">
        <f t="shared" si="42"/>
        <v>7.9962499999999999</v>
      </c>
      <c r="E302" s="94">
        <f t="shared" si="43"/>
        <v>9.1205500000000015</v>
      </c>
    </row>
    <row r="303" spans="1:5">
      <c r="A303" s="94">
        <v>14.700000000000074</v>
      </c>
      <c r="B303" s="94">
        <v>8.6041000000000007</v>
      </c>
      <c r="C303" s="94">
        <v>0.54075000000000006</v>
      </c>
      <c r="D303" s="94">
        <f t="shared" si="42"/>
        <v>8.0633499999999998</v>
      </c>
      <c r="E303" s="94">
        <f t="shared" si="43"/>
        <v>9.1448500000000017</v>
      </c>
    </row>
    <row r="304" spans="1:5">
      <c r="A304" s="94">
        <v>14.750000000000075</v>
      </c>
      <c r="B304" s="94">
        <v>8.5455000000000005</v>
      </c>
      <c r="C304" s="94">
        <v>0.67775000000000007</v>
      </c>
      <c r="D304" s="94">
        <f t="shared" si="42"/>
        <v>7.8677500000000009</v>
      </c>
      <c r="E304" s="94">
        <f t="shared" si="43"/>
        <v>9.2232500000000002</v>
      </c>
    </row>
    <row r="305" spans="1:5">
      <c r="A305" s="94">
        <v>14.800000000000075</v>
      </c>
      <c r="B305" s="94">
        <v>8.4956999999999994</v>
      </c>
      <c r="C305" s="94">
        <v>0.85484999999999989</v>
      </c>
      <c r="D305" s="94">
        <f t="shared" si="42"/>
        <v>7.6408499999999995</v>
      </c>
      <c r="E305" s="94">
        <f t="shared" si="43"/>
        <v>9.3505499999999984</v>
      </c>
    </row>
    <row r="306" spans="1:5">
      <c r="A306" s="94">
        <v>14.850000000000076</v>
      </c>
      <c r="B306" s="94">
        <v>8.4481999999999999</v>
      </c>
      <c r="C306" s="94">
        <v>1.1036499999999996</v>
      </c>
      <c r="D306" s="94">
        <f t="shared" si="42"/>
        <v>7.3445499999999999</v>
      </c>
      <c r="E306" s="94">
        <f t="shared" si="43"/>
        <v>9.55185</v>
      </c>
    </row>
    <row r="307" spans="1:5">
      <c r="A307" s="94">
        <v>14.900000000000077</v>
      </c>
      <c r="B307" s="94">
        <v>8.4083000000000006</v>
      </c>
      <c r="C307" s="94">
        <v>1.3409999999999997</v>
      </c>
      <c r="D307" s="94">
        <f t="shared" si="42"/>
        <v>7.0673000000000012</v>
      </c>
      <c r="E307" s="94">
        <f t="shared" si="43"/>
        <v>9.7492999999999999</v>
      </c>
    </row>
    <row r="308" spans="1:5">
      <c r="A308" s="94">
        <v>14.950000000000077</v>
      </c>
      <c r="B308" s="94">
        <v>8.2651000000000003</v>
      </c>
      <c r="C308" s="94">
        <v>1.1415999999999995</v>
      </c>
      <c r="D308" s="94">
        <f t="shared" si="42"/>
        <v>7.1235000000000008</v>
      </c>
      <c r="E308" s="94">
        <f t="shared" si="43"/>
        <v>9.4067000000000007</v>
      </c>
    </row>
    <row r="309" spans="1:5">
      <c r="A309" s="94">
        <v>15.000000000000078</v>
      </c>
      <c r="B309" s="94">
        <v>7.9782000000000002</v>
      </c>
      <c r="C309" s="94">
        <v>0.94714999999999971</v>
      </c>
      <c r="D309" s="94">
        <f t="shared" si="42"/>
        <v>7.0310500000000005</v>
      </c>
      <c r="E309" s="94">
        <f t="shared" si="43"/>
        <v>8.9253499999999999</v>
      </c>
    </row>
    <row r="310" spans="1:5">
      <c r="A310" s="94">
        <v>15.050000000000079</v>
      </c>
      <c r="B310" s="94">
        <v>7.6769999999999996</v>
      </c>
      <c r="C310" s="94">
        <v>0.99540000000000006</v>
      </c>
      <c r="D310" s="94">
        <f t="shared" si="42"/>
        <v>6.6815999999999995</v>
      </c>
      <c r="E310" s="94">
        <f t="shared" si="43"/>
        <v>8.6723999999999997</v>
      </c>
    </row>
    <row r="311" spans="1:5">
      <c r="A311" s="94">
        <v>15.10000000000008</v>
      </c>
      <c r="B311" s="94">
        <v>7.6326999999999998</v>
      </c>
      <c r="C311" s="94">
        <v>1.0310500000000005</v>
      </c>
      <c r="D311" s="94">
        <f t="shared" si="42"/>
        <v>6.6016499999999994</v>
      </c>
      <c r="E311" s="94">
        <f t="shared" si="43"/>
        <v>8.6637500000000003</v>
      </c>
    </row>
    <row r="312" spans="1:5">
      <c r="A312" s="94">
        <v>15.15000000000008</v>
      </c>
      <c r="B312" s="94">
        <v>7.5830000000000002</v>
      </c>
      <c r="C312" s="94">
        <v>1.0064000000000002</v>
      </c>
      <c r="D312" s="94">
        <f t="shared" si="42"/>
        <v>6.5766</v>
      </c>
      <c r="E312" s="94">
        <f t="shared" si="43"/>
        <v>8.5894000000000013</v>
      </c>
    </row>
    <row r="313" spans="1:5">
      <c r="A313" s="94">
        <v>15.200000000000081</v>
      </c>
      <c r="B313" s="94">
        <v>7.4991000000000003</v>
      </c>
      <c r="C313" s="94">
        <v>0.84969999999999946</v>
      </c>
      <c r="D313" s="94">
        <f t="shared" si="42"/>
        <v>6.6494000000000009</v>
      </c>
      <c r="E313" s="94">
        <f t="shared" si="43"/>
        <v>8.3488000000000007</v>
      </c>
    </row>
    <row r="314" spans="1:5">
      <c r="A314" s="94">
        <v>15.250000000000082</v>
      </c>
      <c r="B314" s="94">
        <v>7.3098999999999998</v>
      </c>
      <c r="C314" s="94">
        <v>0.73409999999999975</v>
      </c>
      <c r="D314" s="94">
        <f t="shared" si="42"/>
        <v>6.5758000000000001</v>
      </c>
      <c r="E314" s="94">
        <f t="shared" si="43"/>
        <v>8.0440000000000005</v>
      </c>
    </row>
    <row r="315" spans="1:5">
      <c r="A315" s="94">
        <v>15.300000000000082</v>
      </c>
      <c r="B315" s="94">
        <v>7.1479999999999997</v>
      </c>
      <c r="C315" s="94">
        <v>0.58955000000000002</v>
      </c>
      <c r="D315" s="94">
        <f t="shared" si="42"/>
        <v>6.5584499999999997</v>
      </c>
      <c r="E315" s="94">
        <f t="shared" si="43"/>
        <v>7.7375499999999997</v>
      </c>
    </row>
    <row r="316" spans="1:5">
      <c r="A316" s="94">
        <v>15.350000000000083</v>
      </c>
      <c r="B316" s="94">
        <v>6.9512</v>
      </c>
      <c r="C316" s="94">
        <v>0.51399999999999979</v>
      </c>
      <c r="D316" s="94">
        <f t="shared" si="42"/>
        <v>6.4372000000000007</v>
      </c>
      <c r="E316" s="94">
        <f t="shared" si="43"/>
        <v>7.4651999999999994</v>
      </c>
    </row>
    <row r="317" spans="1:5">
      <c r="A317" s="94">
        <v>15.400000000000084</v>
      </c>
      <c r="B317" s="94">
        <v>6.7159000000000004</v>
      </c>
      <c r="C317" s="94">
        <v>0.44160000000000021</v>
      </c>
      <c r="D317" s="94">
        <f t="shared" si="42"/>
        <v>6.2743000000000002</v>
      </c>
      <c r="E317" s="94">
        <f t="shared" si="43"/>
        <v>7.1575000000000006</v>
      </c>
    </row>
    <row r="318" spans="1:5">
      <c r="A318" s="94">
        <v>15.450000000000085</v>
      </c>
      <c r="B318" s="94">
        <v>6.5397999999999996</v>
      </c>
      <c r="C318" s="94">
        <v>0.43730000000000002</v>
      </c>
      <c r="D318" s="94">
        <f t="shared" si="42"/>
        <v>6.1024999999999991</v>
      </c>
      <c r="E318" s="94">
        <f t="shared" si="43"/>
        <v>6.9771000000000001</v>
      </c>
    </row>
    <row r="319" spans="1:5">
      <c r="A319" s="94">
        <v>15.500000000000085</v>
      </c>
      <c r="B319" s="94">
        <v>6.3769</v>
      </c>
      <c r="C319" s="94">
        <v>0.37895000000000012</v>
      </c>
      <c r="D319" s="94">
        <f t="shared" si="42"/>
        <v>5.9979499999999994</v>
      </c>
      <c r="E319" s="94">
        <f t="shared" si="43"/>
        <v>6.7558500000000006</v>
      </c>
    </row>
    <row r="320" spans="1:5">
      <c r="A320" s="94">
        <v>15.550000000000086</v>
      </c>
      <c r="B320" s="94">
        <v>6.1603000000000003</v>
      </c>
      <c r="C320" s="94">
        <v>1.3871499999999997</v>
      </c>
      <c r="D320" s="94">
        <f t="shared" si="42"/>
        <v>4.7731500000000011</v>
      </c>
      <c r="E320" s="94">
        <f t="shared" si="43"/>
        <v>7.5474499999999995</v>
      </c>
    </row>
    <row r="321" spans="1:5">
      <c r="A321" s="94">
        <v>15.600000000000087</v>
      </c>
      <c r="B321" s="94">
        <v>6.6638000000000002</v>
      </c>
      <c r="C321" s="94">
        <v>2.3749000000000002</v>
      </c>
      <c r="D321" s="94">
        <f t="shared" si="42"/>
        <v>4.2888999999999999</v>
      </c>
      <c r="E321" s="94">
        <f t="shared" si="43"/>
        <v>9.0387000000000004</v>
      </c>
    </row>
    <row r="322" spans="1:5">
      <c r="A322" s="94">
        <v>15.650000000000087</v>
      </c>
      <c r="B322" s="94">
        <v>7.8830999999999998</v>
      </c>
      <c r="C322" s="94">
        <v>3.8865500000000006</v>
      </c>
      <c r="D322" s="94">
        <f t="shared" si="42"/>
        <v>3.9965499999999992</v>
      </c>
      <c r="E322" s="94">
        <f t="shared" si="43"/>
        <v>11.76965</v>
      </c>
    </row>
    <row r="323" spans="1:5">
      <c r="A323" s="94">
        <v>15.700000000000088</v>
      </c>
      <c r="B323" s="94">
        <v>9.2077000000000009</v>
      </c>
      <c r="C323" s="94">
        <v>4.2274000000000012</v>
      </c>
      <c r="D323" s="94">
        <f t="shared" si="42"/>
        <v>4.9802999999999997</v>
      </c>
      <c r="E323" s="94">
        <f t="shared" si="43"/>
        <v>13.435100000000002</v>
      </c>
    </row>
    <row r="324" spans="1:5">
      <c r="A324" s="94"/>
      <c r="B324" s="95"/>
      <c r="C324" s="95"/>
      <c r="D324" s="95"/>
      <c r="E324" s="95"/>
    </row>
    <row r="325" spans="1:5">
      <c r="A325" s="94"/>
      <c r="B325" s="95"/>
      <c r="C325" s="95"/>
      <c r="D325" s="95"/>
      <c r="E325" s="95"/>
    </row>
    <row r="326" spans="1:5">
      <c r="A326" s="94"/>
      <c r="B326" s="95"/>
      <c r="C326" s="95"/>
      <c r="D326" s="95"/>
      <c r="E326" s="95"/>
    </row>
    <row r="327" spans="1:5">
      <c r="A327" s="94"/>
      <c r="B327" s="95"/>
      <c r="C327" s="95"/>
      <c r="D327" s="95"/>
      <c r="E327" s="95"/>
    </row>
    <row r="328" spans="1:5">
      <c r="A328" s="94"/>
      <c r="B328" s="95"/>
      <c r="C328" s="95"/>
      <c r="D328" s="95"/>
      <c r="E328" s="95"/>
    </row>
    <row r="329" spans="1:5">
      <c r="A329" s="94"/>
      <c r="B329" s="95"/>
      <c r="C329" s="95"/>
      <c r="D329" s="95"/>
      <c r="E329" s="95"/>
    </row>
    <row r="330" spans="1:5">
      <c r="A330" s="94"/>
      <c r="B330" s="95"/>
      <c r="C330" s="95"/>
      <c r="D330" s="95"/>
      <c r="E330" s="95"/>
    </row>
    <row r="331" spans="1:5">
      <c r="A331" s="94"/>
      <c r="B331" s="95"/>
      <c r="C331" s="95"/>
      <c r="D331" s="95"/>
      <c r="E331" s="95"/>
    </row>
    <row r="332" spans="1:5">
      <c r="A332" s="94"/>
      <c r="B332" s="95"/>
      <c r="C332" s="95"/>
      <c r="D332" s="95"/>
      <c r="E332" s="95"/>
    </row>
    <row r="333" spans="1:5">
      <c r="A333" s="94"/>
      <c r="B333" s="95"/>
      <c r="C333" s="95"/>
      <c r="D333" s="95"/>
      <c r="E333" s="95"/>
    </row>
    <row r="334" spans="1:5">
      <c r="A334" s="94"/>
      <c r="B334" s="95"/>
      <c r="C334" s="95"/>
      <c r="D334" s="95"/>
      <c r="E334" s="95"/>
    </row>
    <row r="335" spans="1:5">
      <c r="A335" s="94"/>
      <c r="B335" s="95"/>
      <c r="C335" s="95"/>
      <c r="D335" s="95"/>
      <c r="E335" s="95"/>
    </row>
    <row r="336" spans="1:5">
      <c r="A336" s="94"/>
      <c r="B336" s="95"/>
      <c r="C336" s="95"/>
      <c r="D336" s="95"/>
      <c r="E336" s="95"/>
    </row>
    <row r="337" spans="1:5">
      <c r="A337" s="94"/>
      <c r="B337" s="95"/>
      <c r="C337" s="95"/>
      <c r="D337" s="95"/>
      <c r="E337" s="95"/>
    </row>
    <row r="338" spans="1:5">
      <c r="A338" s="94"/>
      <c r="B338" s="95"/>
      <c r="C338" s="95"/>
      <c r="D338" s="95"/>
      <c r="E338" s="95"/>
    </row>
    <row r="339" spans="1:5">
      <c r="A339" s="94"/>
      <c r="B339" s="95"/>
      <c r="C339" s="95"/>
      <c r="D339" s="95"/>
      <c r="E339" s="95"/>
    </row>
    <row r="340" spans="1:5">
      <c r="A340" s="94"/>
      <c r="B340" s="95"/>
      <c r="C340" s="95"/>
      <c r="D340" s="95"/>
      <c r="E340" s="95"/>
    </row>
    <row r="341" spans="1:5">
      <c r="A341" s="94"/>
      <c r="B341" s="95"/>
      <c r="C341" s="95"/>
      <c r="D341" s="95"/>
      <c r="E341" s="95"/>
    </row>
  </sheetData>
  <mergeCells count="1">
    <mergeCell ref="B6:E6"/>
  </mergeCells>
  <pageMargins left="0.7" right="0.7" top="0.75" bottom="0.75" header="0.3" footer="0.3"/>
  <pageSetup orientation="portrait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28294-337C-3446-A203-3A761024D913}">
  <dimension ref="A1:S25"/>
  <sheetViews>
    <sheetView zoomScale="125" zoomScaleNormal="115" workbookViewId="0">
      <selection sqref="A1:J2"/>
    </sheetView>
  </sheetViews>
  <sheetFormatPr baseColWidth="10" defaultColWidth="8.75" defaultRowHeight="14.5"/>
  <cols>
    <col min="1" max="1" width="8.75" style="91"/>
    <col min="2" max="2" width="13.75" style="91" customWidth="1"/>
    <col min="3" max="16384" width="8.75" style="91"/>
  </cols>
  <sheetData>
    <row r="1" spans="1:19" ht="15.5">
      <c r="A1" s="1" t="s">
        <v>127</v>
      </c>
      <c r="B1" s="1"/>
      <c r="C1" s="1"/>
      <c r="D1" s="1"/>
      <c r="E1" s="1"/>
      <c r="F1" s="1"/>
      <c r="G1" s="1"/>
      <c r="H1" s="1"/>
      <c r="I1" s="1"/>
      <c r="J1" s="1"/>
    </row>
    <row r="2" spans="1:19" ht="15.5">
      <c r="A2" s="2" t="s">
        <v>24</v>
      </c>
      <c r="B2"/>
      <c r="C2"/>
      <c r="D2"/>
      <c r="E2"/>
      <c r="F2" s="2" t="s">
        <v>59</v>
      </c>
      <c r="G2"/>
      <c r="H2"/>
      <c r="I2"/>
      <c r="J2"/>
    </row>
    <row r="4" spans="1:19">
      <c r="L4" s="89"/>
      <c r="M4" s="89"/>
      <c r="N4" s="89"/>
      <c r="O4" s="89"/>
      <c r="P4" s="89"/>
      <c r="Q4" s="89"/>
      <c r="R4" s="89"/>
      <c r="S4" s="89"/>
    </row>
    <row r="5" spans="1:19">
      <c r="A5" s="90" t="s">
        <v>116</v>
      </c>
      <c r="B5" s="90" t="s">
        <v>128</v>
      </c>
      <c r="L5" s="98" t="str">
        <f>+A5</f>
        <v>Depth</v>
      </c>
      <c r="M5" s="98" t="s">
        <v>129</v>
      </c>
      <c r="N5" s="98" t="s">
        <v>6</v>
      </c>
      <c r="O5" s="106" t="s">
        <v>122</v>
      </c>
      <c r="P5" s="98" t="s">
        <v>130</v>
      </c>
      <c r="Q5" s="98" t="s">
        <v>131</v>
      </c>
      <c r="R5" s="98" t="s">
        <v>124</v>
      </c>
      <c r="S5" s="89"/>
    </row>
    <row r="6" spans="1:19">
      <c r="A6" s="90" t="s">
        <v>44</v>
      </c>
      <c r="B6" s="90" t="s">
        <v>132</v>
      </c>
      <c r="L6" s="98" t="s">
        <v>44</v>
      </c>
      <c r="M6" s="98" t="s">
        <v>125</v>
      </c>
      <c r="N6" s="98" t="s">
        <v>114</v>
      </c>
      <c r="O6" s="98" t="s">
        <v>53</v>
      </c>
      <c r="P6" s="98" t="s">
        <v>125</v>
      </c>
      <c r="Q6" s="89" t="s">
        <v>125</v>
      </c>
      <c r="R6" s="98" t="s">
        <v>53</v>
      </c>
      <c r="S6" s="89"/>
    </row>
    <row r="7" spans="1:19">
      <c r="L7" s="89">
        <f>+A10</f>
        <v>1.8</v>
      </c>
      <c r="M7" s="89">
        <f>+B10</f>
        <v>14</v>
      </c>
      <c r="N7" s="96">
        <v>19</v>
      </c>
      <c r="O7" s="96">
        <f>+L7*N7</f>
        <v>34.200000000000003</v>
      </c>
      <c r="P7" s="96">
        <f>+(100/O7)^0.5</f>
        <v>1.7099639201419234</v>
      </c>
      <c r="Q7" s="97">
        <f>+P7*M7</f>
        <v>23.939494881986928</v>
      </c>
      <c r="R7" s="97">
        <f>7*Q7</f>
        <v>167.57646417390851</v>
      </c>
      <c r="S7" s="89"/>
    </row>
    <row r="8" spans="1:19">
      <c r="A8" s="91">
        <v>0.6</v>
      </c>
      <c r="B8" s="91">
        <v>30</v>
      </c>
      <c r="L8" s="89">
        <f t="shared" ref="L8:M8" si="0">+A11</f>
        <v>2.4</v>
      </c>
      <c r="M8" s="89">
        <f t="shared" si="0"/>
        <v>19</v>
      </c>
      <c r="N8" s="96">
        <v>22</v>
      </c>
      <c r="O8" s="96">
        <f>+O7+(L8-L7)*N8</f>
        <v>47.4</v>
      </c>
      <c r="P8" s="96">
        <f t="shared" ref="P8:P9" si="1">+(100/O8)^0.5</f>
        <v>1.452482234435317</v>
      </c>
      <c r="Q8" s="97">
        <f t="shared" ref="Q8:Q9" si="2">+P8*M8</f>
        <v>27.597162454271022</v>
      </c>
      <c r="R8" s="97">
        <f t="shared" ref="R8:R9" si="3">7*Q8</f>
        <v>193.18013717989714</v>
      </c>
      <c r="S8" s="89"/>
    </row>
    <row r="9" spans="1:19">
      <c r="A9" s="91">
        <v>1.2</v>
      </c>
      <c r="B9" s="91">
        <v>14</v>
      </c>
      <c r="L9" s="89">
        <f t="shared" ref="L9:M9" si="4">+A12</f>
        <v>4.0999999999999996</v>
      </c>
      <c r="M9" s="89">
        <f t="shared" si="4"/>
        <v>14</v>
      </c>
      <c r="N9" s="96">
        <v>21.2</v>
      </c>
      <c r="O9" s="96">
        <f>+O8+(L9-L8)*N9</f>
        <v>83.44</v>
      </c>
      <c r="P9" s="96">
        <f t="shared" si="1"/>
        <v>1.0947447024610966</v>
      </c>
      <c r="Q9" s="97">
        <f t="shared" si="2"/>
        <v>15.326425834455351</v>
      </c>
      <c r="R9" s="97">
        <f t="shared" si="3"/>
        <v>107.28498084118746</v>
      </c>
      <c r="S9" s="89"/>
    </row>
    <row r="10" spans="1:19">
      <c r="A10" s="91">
        <v>1.8</v>
      </c>
      <c r="B10" s="91">
        <v>14</v>
      </c>
      <c r="L10" s="89"/>
      <c r="M10" s="89"/>
      <c r="N10" s="89"/>
      <c r="O10" s="89"/>
      <c r="P10" s="89"/>
      <c r="Q10" s="89"/>
      <c r="R10" s="89"/>
      <c r="S10" s="89"/>
    </row>
    <row r="11" spans="1:19">
      <c r="A11" s="91">
        <v>2.4</v>
      </c>
      <c r="B11" s="91">
        <v>19</v>
      </c>
      <c r="L11" s="89"/>
      <c r="M11" s="89"/>
      <c r="N11" s="89"/>
      <c r="O11" s="89"/>
      <c r="P11" s="89"/>
      <c r="Q11" s="89"/>
      <c r="R11" s="89"/>
      <c r="S11" s="89"/>
    </row>
    <row r="12" spans="1:19">
      <c r="A12" s="91">
        <v>4.0999999999999996</v>
      </c>
      <c r="B12" s="91">
        <v>14</v>
      </c>
      <c r="L12" s="89"/>
      <c r="M12" s="89"/>
      <c r="N12" s="89"/>
      <c r="O12" s="89"/>
      <c r="P12" s="89"/>
      <c r="Q12" s="89"/>
      <c r="R12" s="89"/>
      <c r="S12" s="89"/>
    </row>
    <row r="13" spans="1:19">
      <c r="A13" s="91">
        <v>5.7</v>
      </c>
      <c r="B13" s="91">
        <v>20</v>
      </c>
    </row>
    <row r="14" spans="1:19">
      <c r="A14" s="91">
        <v>7.2</v>
      </c>
      <c r="B14" s="91">
        <v>22</v>
      </c>
    </row>
    <row r="15" spans="1:19" ht="15" thickBot="1">
      <c r="A15" s="91">
        <v>8.6999999999999993</v>
      </c>
      <c r="B15" s="91">
        <v>32</v>
      </c>
    </row>
    <row r="16" spans="1:19" ht="15.5">
      <c r="A16" s="91">
        <v>10.199999999999999</v>
      </c>
      <c r="B16" s="91">
        <v>16</v>
      </c>
      <c r="L16" s="80" t="s">
        <v>3</v>
      </c>
      <c r="M16" s="86">
        <f>+AVERAGE(R7:R9)</f>
        <v>156.01386073166438</v>
      </c>
      <c r="N16" s="102" t="s">
        <v>12</v>
      </c>
    </row>
    <row r="17" spans="1:14" ht="15.5">
      <c r="A17" s="91">
        <v>11.7</v>
      </c>
      <c r="B17" s="91">
        <v>45</v>
      </c>
      <c r="L17" s="100" t="s">
        <v>112</v>
      </c>
      <c r="M17" s="99">
        <v>0.5</v>
      </c>
      <c r="N17" s="103"/>
    </row>
    <row r="18" spans="1:14" ht="15.5">
      <c r="A18" s="91">
        <v>13.3</v>
      </c>
      <c r="B18" s="91">
        <v>41</v>
      </c>
      <c r="L18" s="83" t="s">
        <v>111</v>
      </c>
      <c r="M18" s="68">
        <f>+M16*M17</f>
        <v>78.00693036583219</v>
      </c>
      <c r="N18" s="103" t="s">
        <v>12</v>
      </c>
    </row>
    <row r="19" spans="1:14" ht="15" thickBot="1">
      <c r="L19" s="101" t="s">
        <v>126</v>
      </c>
      <c r="M19" s="104">
        <f>+M16-0.84*M18</f>
        <v>90.488039224365338</v>
      </c>
      <c r="N19" s="105" t="s">
        <v>12</v>
      </c>
    </row>
    <row r="20" spans="1:14">
      <c r="A20" s="91">
        <v>6.7</v>
      </c>
      <c r="B20" s="91">
        <v>36</v>
      </c>
    </row>
    <row r="21" spans="1:14">
      <c r="A21" s="91">
        <v>14</v>
      </c>
      <c r="B21" s="91">
        <v>43</v>
      </c>
    </row>
    <row r="24" spans="1:14">
      <c r="A24" s="91" t="s">
        <v>133</v>
      </c>
    </row>
    <row r="25" spans="1:14" ht="16.5">
      <c r="A25" s="91" t="s">
        <v>134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7A29C-924E-CB49-90C5-BDD39A3A41EF}">
  <dimension ref="A1:U70"/>
  <sheetViews>
    <sheetView showGridLines="0" zoomScale="145" zoomScaleNormal="145" zoomScaleSheetLayoutView="115" zoomScalePageLayoutView="145" workbookViewId="0">
      <selection activeCell="F20" sqref="F20"/>
    </sheetView>
  </sheetViews>
  <sheetFormatPr baseColWidth="10" defaultColWidth="9" defaultRowHeight="12.5" outlineLevelRow="1"/>
  <cols>
    <col min="1" max="1" width="6.25" style="108" customWidth="1"/>
    <col min="2" max="5" width="6.25" style="107" customWidth="1"/>
    <col min="6" max="13" width="5.75" style="107" customWidth="1"/>
    <col min="14" max="18" width="6.5" style="107" customWidth="1"/>
    <col min="19" max="16384" width="9" style="107"/>
  </cols>
  <sheetData>
    <row r="1" spans="1:21" ht="15.5">
      <c r="A1" s="1" t="s">
        <v>135</v>
      </c>
      <c r="B1" s="1"/>
      <c r="C1" s="1"/>
      <c r="D1" s="1"/>
      <c r="E1" s="1"/>
      <c r="F1" s="1"/>
      <c r="G1" s="1"/>
      <c r="H1" s="1"/>
      <c r="I1" s="1"/>
      <c r="J1" s="1"/>
    </row>
    <row r="2" spans="1:21" ht="15.5">
      <c r="A2" s="2" t="s">
        <v>136</v>
      </c>
      <c r="B2"/>
      <c r="C2"/>
      <c r="D2"/>
      <c r="E2"/>
      <c r="F2" s="2"/>
      <c r="G2"/>
      <c r="H2"/>
      <c r="I2"/>
      <c r="J2"/>
    </row>
    <row r="3" spans="1:21" ht="13.5" customHeight="1" outlineLevel="1">
      <c r="G3" s="109"/>
    </row>
    <row r="4" spans="1:21" outlineLevel="1">
      <c r="I4" s="228" t="s">
        <v>137</v>
      </c>
      <c r="J4" s="228"/>
      <c r="K4" s="228"/>
      <c r="L4" s="228"/>
      <c r="M4" s="228"/>
      <c r="P4" s="227" t="s">
        <v>138</v>
      </c>
      <c r="Q4" s="227"/>
      <c r="R4" s="227"/>
      <c r="S4" s="227"/>
    </row>
    <row r="5" spans="1:21" outlineLevel="1">
      <c r="I5" s="129" t="s">
        <v>139</v>
      </c>
      <c r="J5" s="129"/>
      <c r="K5" s="129"/>
      <c r="M5" s="130">
        <v>0.35</v>
      </c>
    </row>
    <row r="6" spans="1:21" outlineLevel="1">
      <c r="I6" s="129" t="s">
        <v>140</v>
      </c>
      <c r="J6" s="129"/>
      <c r="K6" s="129"/>
      <c r="M6" s="130">
        <v>0.35</v>
      </c>
    </row>
    <row r="7" spans="1:21" ht="14.5" outlineLevel="1">
      <c r="I7" s="129" t="s">
        <v>141</v>
      </c>
      <c r="J7" s="129"/>
      <c r="K7" s="129"/>
      <c r="M7" s="131">
        <f>+M5*M6</f>
        <v>0.12249999999999998</v>
      </c>
      <c r="P7" s="110" t="s">
        <v>142</v>
      </c>
      <c r="Q7" s="111"/>
      <c r="R7" s="111"/>
      <c r="S7" s="111"/>
      <c r="T7" s="111"/>
      <c r="U7" s="111"/>
    </row>
    <row r="8" spans="1:21" ht="15" outlineLevel="1">
      <c r="I8" s="132" t="s">
        <v>143</v>
      </c>
      <c r="J8" s="132"/>
      <c r="K8" s="132"/>
      <c r="M8" s="130">
        <v>10</v>
      </c>
      <c r="P8" s="112" t="s">
        <v>62</v>
      </c>
      <c r="Q8" s="112" t="s">
        <v>144</v>
      </c>
      <c r="R8" s="112" t="s">
        <v>145</v>
      </c>
      <c r="S8" s="112" t="s">
        <v>146</v>
      </c>
      <c r="T8" s="112" t="s">
        <v>147</v>
      </c>
      <c r="U8" s="113" t="s">
        <v>148</v>
      </c>
    </row>
    <row r="9" spans="1:21" outlineLevel="1">
      <c r="I9" s="132" t="s">
        <v>149</v>
      </c>
      <c r="J9" s="132"/>
      <c r="K9" s="132"/>
      <c r="M9" s="131">
        <f>+M8</f>
        <v>10</v>
      </c>
      <c r="P9" s="114" t="s">
        <v>150</v>
      </c>
      <c r="Q9" s="114" t="s">
        <v>150</v>
      </c>
      <c r="R9" s="114" t="s">
        <v>151</v>
      </c>
      <c r="S9" s="114" t="s">
        <v>152</v>
      </c>
      <c r="T9" s="114" t="s">
        <v>151</v>
      </c>
      <c r="U9" s="115" t="s">
        <v>152</v>
      </c>
    </row>
    <row r="10" spans="1:21" outlineLevel="1">
      <c r="P10" s="116">
        <v>1</v>
      </c>
      <c r="Q10" s="116">
        <v>0</v>
      </c>
      <c r="R10" s="116">
        <v>0</v>
      </c>
      <c r="S10" s="116">
        <v>0</v>
      </c>
      <c r="T10" s="116">
        <v>0</v>
      </c>
      <c r="U10" s="117">
        <v>0</v>
      </c>
    </row>
    <row r="11" spans="1:21" ht="13" outlineLevel="1">
      <c r="B11" s="226" t="s">
        <v>153</v>
      </c>
      <c r="C11" s="226"/>
      <c r="D11" s="226"/>
      <c r="E11" s="226"/>
      <c r="G11" s="226" t="s">
        <v>154</v>
      </c>
      <c r="H11" s="226"/>
      <c r="I11" s="226"/>
      <c r="J11" s="226"/>
      <c r="S11" s="110" t="s">
        <v>155</v>
      </c>
      <c r="T11" s="111"/>
      <c r="U11" s="111"/>
    </row>
    <row r="12" spans="1:21" ht="15.5" outlineLevel="1">
      <c r="B12" s="133" t="s">
        <v>156</v>
      </c>
      <c r="C12" s="133" t="s">
        <v>157</v>
      </c>
      <c r="D12" s="134" t="s">
        <v>158</v>
      </c>
      <c r="E12" s="133" t="s">
        <v>159</v>
      </c>
      <c r="G12" s="133" t="s">
        <v>160</v>
      </c>
      <c r="H12" s="134" t="s">
        <v>161</v>
      </c>
      <c r="I12" s="133" t="s">
        <v>162</v>
      </c>
      <c r="P12" s="151" t="s">
        <v>163</v>
      </c>
      <c r="S12" s="113" t="s">
        <v>164</v>
      </c>
      <c r="T12" s="113" t="s">
        <v>165</v>
      </c>
      <c r="U12" s="113" t="s">
        <v>166</v>
      </c>
    </row>
    <row r="13" spans="1:21" ht="14.5" outlineLevel="1">
      <c r="B13" s="135" t="s">
        <v>167</v>
      </c>
      <c r="C13" s="135" t="s">
        <v>12</v>
      </c>
      <c r="D13" s="135" t="s">
        <v>168</v>
      </c>
      <c r="E13" s="135" t="s">
        <v>12</v>
      </c>
      <c r="G13" s="136">
        <f>+P13*EXP(PI()*TAN(RADIANS(B14)))</f>
        <v>7.8211200716883358</v>
      </c>
      <c r="H13" s="136">
        <f>1.5*(G13-1)*TAN(RADIANS(B14))</f>
        <v>4.1338670977990093</v>
      </c>
      <c r="I13" s="136">
        <f>IF(B14=0,PI()+2,(G13-1)*TAN(RADIANS(B14))^-1)</f>
        <v>16.882864615009822</v>
      </c>
      <c r="P13" s="136">
        <f>+TAN(RADIANS(45+B14/2))^2</f>
        <v>2.1979870253574347</v>
      </c>
      <c r="S13" s="114" t="s">
        <v>152</v>
      </c>
      <c r="T13" s="114" t="s">
        <v>152</v>
      </c>
      <c r="U13" s="115" t="s">
        <v>169</v>
      </c>
    </row>
    <row r="14" spans="1:21" outlineLevel="1">
      <c r="B14" s="137">
        <v>22</v>
      </c>
      <c r="C14" s="137">
        <v>0</v>
      </c>
      <c r="D14" s="137">
        <v>6</v>
      </c>
      <c r="E14" s="138">
        <f>M9*D14</f>
        <v>60</v>
      </c>
      <c r="G14" s="120"/>
      <c r="S14" s="118">
        <f>MIN(M5-2*S10,M6-2*U10)</f>
        <v>0.35</v>
      </c>
      <c r="T14" s="118">
        <f>MAX(M5-2*S10,M6-2*U10)</f>
        <v>0.35</v>
      </c>
      <c r="U14" s="119">
        <f>+S14*T14</f>
        <v>0.12249999999999998</v>
      </c>
    </row>
    <row r="15" spans="1:21" outlineLevel="1"/>
    <row r="16" spans="1:21" outlineLevel="1">
      <c r="B16" s="226" t="s">
        <v>170</v>
      </c>
      <c r="C16" s="226"/>
      <c r="D16" s="226"/>
      <c r="E16" s="226"/>
      <c r="F16" s="226"/>
      <c r="G16" s="226"/>
      <c r="H16" s="226"/>
      <c r="I16" s="226"/>
      <c r="J16" s="226"/>
      <c r="K16" s="226"/>
      <c r="Q16" s="121"/>
      <c r="R16" s="121"/>
      <c r="S16" s="121"/>
    </row>
    <row r="17" spans="1:20" ht="15.5" outlineLevel="1">
      <c r="B17" s="133" t="s">
        <v>171</v>
      </c>
      <c r="C17" s="133" t="s">
        <v>172</v>
      </c>
      <c r="D17" s="133" t="s">
        <v>173</v>
      </c>
      <c r="E17" s="133" t="s">
        <v>174</v>
      </c>
      <c r="F17" s="133" t="s">
        <v>175</v>
      </c>
      <c r="G17" s="133" t="s">
        <v>176</v>
      </c>
      <c r="H17" s="133" t="s">
        <v>177</v>
      </c>
      <c r="I17" s="133" t="s">
        <v>178</v>
      </c>
      <c r="J17" s="139" t="s">
        <v>179</v>
      </c>
      <c r="K17" s="133" t="s">
        <v>180</v>
      </c>
      <c r="Q17" s="123"/>
      <c r="R17" s="123"/>
      <c r="S17" s="123"/>
      <c r="T17" s="122" t="s">
        <v>181</v>
      </c>
    </row>
    <row r="18" spans="1:20" outlineLevel="1">
      <c r="B18" s="140">
        <f>+M9/S14</f>
        <v>28.571428571428573</v>
      </c>
      <c r="C18" s="141">
        <f>1-0.4*S14/T14</f>
        <v>0.60000000000000009</v>
      </c>
      <c r="D18" s="141">
        <v>1</v>
      </c>
      <c r="E18" s="141">
        <f>(1-0.7*$Q$10/(P10+U14*C14*(1/TAN(RADIANS(B14)))))^5</f>
        <v>1</v>
      </c>
      <c r="F18" s="141">
        <f>1+(S14/T14)*TAN(RADIANS(B14))</f>
        <v>1.4040262258351568</v>
      </c>
      <c r="G18" s="141">
        <f>1+(2*TAN(RADIANS(B14))*(1-SIN(RADIANS(B14)))^2)*T18</f>
        <v>1.4853821619306733</v>
      </c>
      <c r="H18" s="141">
        <f>+(1-(0.5*Q10/(P10+U14*C14*(1/TAN(RADIANS(B14))))))^5</f>
        <v>1</v>
      </c>
      <c r="I18" s="141">
        <f>1+(G13*S14)/(I13*T14)</f>
        <v>1.4632578801073199</v>
      </c>
      <c r="J18" s="141">
        <f>1+0.4*T18</f>
        <v>1.6143242431865485</v>
      </c>
      <c r="K18" s="141">
        <f>IF(B14=0,(1+(1-Q10/(U14*C14))^0.5)/2, H18-(1-H18)/(G13-1))</f>
        <v>1</v>
      </c>
      <c r="T18" s="124">
        <f>+IF(B18&gt;1, ATAN(B18),B18)</f>
        <v>1.5358106079663709</v>
      </c>
    </row>
    <row r="19" spans="1:20" outlineLevel="1">
      <c r="Q19" s="125" t="s">
        <v>182</v>
      </c>
      <c r="R19" s="126"/>
      <c r="S19" s="127"/>
      <c r="T19" s="128">
        <f>C14*I13*I18*J18*K18</f>
        <v>0</v>
      </c>
    </row>
    <row r="20" spans="1:20" outlineLevel="1">
      <c r="B20" s="132" t="s">
        <v>183</v>
      </c>
      <c r="C20" s="132"/>
      <c r="D20" s="132"/>
      <c r="E20" s="132"/>
      <c r="F20" s="148">
        <f>+T22</f>
        <v>981.26836952281519</v>
      </c>
      <c r="G20" s="120" t="s">
        <v>184</v>
      </c>
      <c r="Q20" s="125" t="s">
        <v>185</v>
      </c>
      <c r="R20" s="126"/>
      <c r="S20" s="127"/>
      <c r="T20" s="128">
        <f>0.5*S14*D14*H13*C18*D18*E18</f>
        <v>2.6043362716133758</v>
      </c>
    </row>
    <row r="21" spans="1:20" ht="13" outlineLevel="1">
      <c r="B21" s="142" t="s">
        <v>186</v>
      </c>
      <c r="C21" s="142"/>
      <c r="D21" s="142"/>
      <c r="E21" s="142"/>
      <c r="F21" s="143">
        <f>+M5*M6*F20</f>
        <v>120.20537526654485</v>
      </c>
      <c r="P21" s="121"/>
      <c r="Q21" s="125" t="s">
        <v>187</v>
      </c>
      <c r="R21" s="126"/>
      <c r="S21" s="127"/>
      <c r="T21" s="128">
        <f>E14*G13*F18*G18*H18</f>
        <v>978.66403325120177</v>
      </c>
    </row>
    <row r="22" spans="1:20" outlineLevel="1">
      <c r="B22" s="132" t="s">
        <v>188</v>
      </c>
      <c r="C22" s="132"/>
      <c r="D22" s="132"/>
      <c r="E22" s="132"/>
      <c r="F22" s="149">
        <v>0.7</v>
      </c>
      <c r="Q22" s="125" t="s">
        <v>189</v>
      </c>
      <c r="R22" s="126"/>
      <c r="S22" s="127"/>
      <c r="T22" s="128">
        <f>SUM(T19:T21)</f>
        <v>981.26836952281519</v>
      </c>
    </row>
    <row r="23" spans="1:20" ht="13" outlineLevel="1">
      <c r="B23" s="142" t="s">
        <v>190</v>
      </c>
      <c r="C23" s="109"/>
      <c r="D23" s="109"/>
      <c r="E23" s="109"/>
      <c r="F23" s="144">
        <f>+F21*F22</f>
        <v>84.143762686581383</v>
      </c>
    </row>
    <row r="24" spans="1:20" outlineLevel="1">
      <c r="B24" s="120"/>
      <c r="C24" s="120"/>
      <c r="D24" s="120"/>
      <c r="E24" s="120"/>
      <c r="F24" s="120"/>
      <c r="G24" s="120"/>
    </row>
    <row r="25" spans="1:20" outlineLevel="1">
      <c r="B25" s="120"/>
    </row>
    <row r="26" spans="1:20">
      <c r="B26" s="120"/>
    </row>
    <row r="27" spans="1:20">
      <c r="B27" s="120"/>
    </row>
    <row r="28" spans="1:20" ht="15.5">
      <c r="A28" s="2" t="s">
        <v>191</v>
      </c>
      <c r="B28" s="120"/>
    </row>
    <row r="29" spans="1:20" ht="13">
      <c r="A29" s="109" t="s">
        <v>24</v>
      </c>
    </row>
    <row r="30" spans="1:20">
      <c r="A30" s="107" t="s">
        <v>111</v>
      </c>
      <c r="B30" s="107">
        <v>2.5000000000000001E-2</v>
      </c>
      <c r="C30" s="107" t="s">
        <v>3</v>
      </c>
    </row>
    <row r="31" spans="1:20">
      <c r="A31" s="107" t="s">
        <v>192</v>
      </c>
      <c r="B31" s="107">
        <v>0.88</v>
      </c>
    </row>
    <row r="32" spans="1:20">
      <c r="A32" s="107" t="s">
        <v>2</v>
      </c>
      <c r="B32" s="145">
        <f>+M5</f>
        <v>0.35</v>
      </c>
      <c r="C32" s="107" t="s">
        <v>3</v>
      </c>
    </row>
    <row r="33" spans="1:11" ht="15.5">
      <c r="A33" s="107" t="s">
        <v>15</v>
      </c>
      <c r="B33" s="107">
        <v>0.4</v>
      </c>
      <c r="K33"/>
    </row>
    <row r="34" spans="1:11">
      <c r="A34" s="107" t="s">
        <v>193</v>
      </c>
      <c r="B34" s="107">
        <f>300*C14/1000</f>
        <v>0</v>
      </c>
      <c r="C34" s="107" t="s">
        <v>31</v>
      </c>
    </row>
    <row r="35" spans="1:11">
      <c r="A35" s="107"/>
    </row>
    <row r="36" spans="1:11" ht="13">
      <c r="A36" s="109" t="s">
        <v>59</v>
      </c>
    </row>
    <row r="37" spans="1:11">
      <c r="A37" s="107" t="s">
        <v>194</v>
      </c>
      <c r="B37" s="147">
        <f>+B30*B34/(B32*B31*(1-B33^2))*1000</f>
        <v>0</v>
      </c>
      <c r="C37" s="107" t="s">
        <v>12</v>
      </c>
    </row>
    <row r="38" spans="1:11">
      <c r="A38" s="107" t="s">
        <v>195</v>
      </c>
      <c r="B38" s="147">
        <f>+B37+D14*B32</f>
        <v>2.0999999999999996</v>
      </c>
      <c r="C38" s="107" t="s">
        <v>12</v>
      </c>
    </row>
    <row r="39" spans="1:11" ht="15">
      <c r="A39" s="109" t="s">
        <v>196</v>
      </c>
      <c r="B39" s="150">
        <f>+B38*B32*B32</f>
        <v>0.25724999999999992</v>
      </c>
      <c r="C39" s="109" t="s">
        <v>197</v>
      </c>
    </row>
    <row r="40" spans="1:11">
      <c r="A40" s="107"/>
    </row>
    <row r="41" spans="1:11">
      <c r="A41" s="107"/>
    </row>
    <row r="42" spans="1:11" ht="13">
      <c r="A42" s="109" t="s">
        <v>24</v>
      </c>
    </row>
    <row r="43" spans="1:11">
      <c r="A43" s="107" t="s">
        <v>62</v>
      </c>
      <c r="B43" s="107">
        <v>600</v>
      </c>
      <c r="C43" s="107" t="s">
        <v>197</v>
      </c>
    </row>
    <row r="44" spans="1:11">
      <c r="A44" s="107" t="s">
        <v>198</v>
      </c>
      <c r="B44" s="107">
        <v>60</v>
      </c>
      <c r="C44" s="107" t="s">
        <v>197</v>
      </c>
    </row>
    <row r="45" spans="1:11">
      <c r="A45" s="107"/>
    </row>
    <row r="46" spans="1:11" ht="13">
      <c r="A46" s="109" t="s">
        <v>59</v>
      </c>
    </row>
    <row r="47" spans="1:11">
      <c r="A47" s="107" t="s">
        <v>194</v>
      </c>
      <c r="B47" s="107">
        <f>+(B43+B44)/(M5*M6)</f>
        <v>5387.7551020408173</v>
      </c>
      <c r="C47" s="107" t="s">
        <v>12</v>
      </c>
    </row>
    <row r="48" spans="1:11">
      <c r="A48" s="107" t="s">
        <v>111</v>
      </c>
      <c r="B48" s="146" t="e">
        <f>+B47*B32/B34*B31*(1-B33^2)</f>
        <v>#DIV/0!</v>
      </c>
      <c r="C48" s="107" t="s">
        <v>199</v>
      </c>
    </row>
    <row r="49" spans="1:1">
      <c r="A49" s="107"/>
    </row>
    <row r="50" spans="1:1">
      <c r="A50" s="107"/>
    </row>
    <row r="51" spans="1:1">
      <c r="A51" s="107"/>
    </row>
    <row r="52" spans="1:1">
      <c r="A52" s="107"/>
    </row>
    <row r="53" spans="1:1">
      <c r="A53" s="107"/>
    </row>
    <row r="54" spans="1:1">
      <c r="A54" s="107"/>
    </row>
    <row r="55" spans="1:1">
      <c r="A55" s="107"/>
    </row>
    <row r="56" spans="1:1">
      <c r="A56" s="107"/>
    </row>
    <row r="57" spans="1:1">
      <c r="A57" s="107"/>
    </row>
    <row r="58" spans="1:1">
      <c r="A58" s="107"/>
    </row>
    <row r="59" spans="1:1">
      <c r="A59" s="107"/>
    </row>
    <row r="60" spans="1:1">
      <c r="A60" s="107"/>
    </row>
    <row r="61" spans="1:1">
      <c r="A61" s="107"/>
    </row>
    <row r="62" spans="1:1">
      <c r="A62" s="107"/>
    </row>
    <row r="63" spans="1:1">
      <c r="A63" s="107"/>
    </row>
    <row r="64" spans="1:1">
      <c r="A64" s="107"/>
    </row>
    <row r="65" spans="1:1">
      <c r="A65" s="107"/>
    </row>
    <row r="66" spans="1:1">
      <c r="A66" s="107"/>
    </row>
    <row r="67" spans="1:1">
      <c r="A67" s="107"/>
    </row>
    <row r="68" spans="1:1">
      <c r="A68" s="107"/>
    </row>
    <row r="69" spans="1:1">
      <c r="A69" s="107"/>
    </row>
    <row r="70" spans="1:1">
      <c r="A70" s="107"/>
    </row>
  </sheetData>
  <mergeCells count="5">
    <mergeCell ref="G11:J11"/>
    <mergeCell ref="B16:K16"/>
    <mergeCell ref="P4:S4"/>
    <mergeCell ref="I4:M4"/>
    <mergeCell ref="B11:E11"/>
  </mergeCells>
  <printOptions horizontalCentered="1" verticalCentered="1"/>
  <pageMargins left="0.78740157480314965" right="0.78740157480314965" top="0.98425196850393704" bottom="0.98425196850393704" header="0" footer="0.51181102362204722"/>
  <pageSetup firstPageNumber="0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E_1.2</vt:lpstr>
      <vt:lpstr>E_1.3</vt:lpstr>
      <vt:lpstr>ej. 1.3</vt:lpstr>
      <vt:lpstr>ej. 1.4</vt:lpstr>
      <vt:lpstr>ej 1.4 - newmark</vt:lpstr>
      <vt:lpstr>ej. 5.1</vt:lpstr>
      <vt:lpstr>ej 5.2</vt:lpstr>
      <vt:lpstr>ej 5.3</vt:lpstr>
      <vt:lpstr>ej 5.4</vt:lpstr>
      <vt:lpstr>ANEXO BASES</vt:lpstr>
      <vt:lpstr>ej ppt 3</vt:lpstr>
      <vt:lpstr>ej ppt 4</vt:lpstr>
      <vt:lpstr>E_1.3!Área_de_impresión</vt:lpstr>
      <vt:lpstr>'ej 1.4 - newmark'!Área_de_impresión</vt:lpstr>
      <vt:lpstr>'ej 5.4'!Área_de_impresión</vt:lpstr>
      <vt:lpstr>'ej ppt 3'!Área_de_impresión</vt:lpstr>
      <vt:lpstr>'ej ppt 4'!Área_de_impresión</vt:lpstr>
      <vt:lpstr>'ej. 1.4'!Área_de_impresión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mauro codevilla</dc:creator>
  <cp:keywords/>
  <dc:description/>
  <cp:lastModifiedBy>Pedro Fernández</cp:lastModifiedBy>
  <cp:revision/>
  <dcterms:created xsi:type="dcterms:W3CDTF">2020-06-15T23:06:29Z</dcterms:created>
  <dcterms:modified xsi:type="dcterms:W3CDTF">2024-05-28T17:17:42Z</dcterms:modified>
  <cp:category/>
  <cp:contentStatus/>
</cp:coreProperties>
</file>